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lubchenko.anna\Desktop\525\ДЕР\Фін.плани 2020\"/>
    </mc:Choice>
  </mc:AlternateContent>
  <bookViews>
    <workbookView xWindow="0" yWindow="0" windowWidth="28800" windowHeight="12435" tabRatio="792" activeTab="1"/>
  </bookViews>
  <sheets>
    <sheet name="Фінплан - зведені показники" sheetId="14" r:id="rId1"/>
    <sheet name="1.Фінансовий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5. Інша інформація" sheetId="10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1">'1.Фінансовий результат'!$5:$5</definedName>
    <definedName name="_xlnm.Print_Titles" localSheetId="2">'2. Розрахунки з бюджетом'!$6:$6</definedName>
    <definedName name="_xlnm.Print_Titles" localSheetId="3">'3. Рух грошових коштів'!$6:$6</definedName>
    <definedName name="_xlnm.Print_Titles" localSheetId="0">'Фінплан - зведені показники'!$7:$7</definedName>
    <definedName name="і">[28]Inform!$F$2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'1.Фінансовий результат'!$A$1:$J$118</definedName>
    <definedName name="_xlnm.Print_Area" localSheetId="2">'2. Розрахунки з бюджетом'!$A$1:$J$43</definedName>
    <definedName name="_xlnm.Print_Area" localSheetId="3">'3. Рух грошових коштів'!$A$1:$J$84</definedName>
    <definedName name="_xlnm.Print_Area" localSheetId="4">'4. Кап. інвестиції'!$A$1:$J$29</definedName>
    <definedName name="_xlnm.Print_Area" localSheetId="5">'5. Інша інформація'!$A$70:$AE$99</definedName>
    <definedName name="_xlnm.Print_Area" localSheetId="0">'Фінплан - зведені показники'!$A$1:$J$42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[30]Inform!$E$6</definedName>
    <definedName name="р">#REF!</definedName>
    <definedName name="т">[31]Inform!$E$6</definedName>
    <definedName name="тариф">[32]Inform!$G$2</definedName>
    <definedName name="уйцукйцуйу">#REF!</definedName>
    <definedName name="уке">[33]Inform!$G$2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'[34]БАЗА  '!#REF!</definedName>
    <definedName name="ш">#REF!</definedName>
  </definedNames>
  <calcPr calcId="152511"/>
</workbook>
</file>

<file path=xl/calcChain.xml><?xml version="1.0" encoding="utf-8"?>
<calcChain xmlns="http://schemas.openxmlformats.org/spreadsheetml/2006/main">
  <c r="E22" i="10" l="1"/>
  <c r="J112" i="2"/>
  <c r="I112" i="2"/>
  <c r="H112" i="2"/>
  <c r="G112" i="2"/>
  <c r="E19" i="10"/>
  <c r="F32" i="19" l="1"/>
  <c r="J25" i="3" l="1"/>
  <c r="I10" i="3"/>
  <c r="I25" i="3" l="1"/>
  <c r="O91" i="10" s="1"/>
  <c r="H25" i="3"/>
  <c r="X92" i="10"/>
  <c r="W92" i="10"/>
  <c r="S92" i="10"/>
  <c r="R92" i="10"/>
  <c r="M91" i="10"/>
  <c r="AB91" i="10" s="1"/>
  <c r="N91" i="10"/>
  <c r="AC91" i="10" s="1"/>
  <c r="P91" i="10"/>
  <c r="T91" i="10"/>
  <c r="U91" i="10"/>
  <c r="Y91" i="10"/>
  <c r="Z91" i="10"/>
  <c r="B91" i="10"/>
  <c r="I43" i="10"/>
  <c r="E71" i="2"/>
  <c r="E45" i="2"/>
  <c r="E38" i="2"/>
  <c r="V91" i="10" l="1"/>
  <c r="AE91" i="10"/>
  <c r="AD91" i="10"/>
  <c r="AA91" i="10" s="1"/>
  <c r="Q91" i="10"/>
  <c r="L91" i="10"/>
  <c r="E114" i="2" l="1"/>
  <c r="E111" i="2" l="1"/>
  <c r="E75" i="2"/>
  <c r="L38" i="19" l="1"/>
  <c r="D23" i="3" l="1"/>
  <c r="E23" i="3"/>
  <c r="E10" i="3"/>
  <c r="D10" i="3"/>
  <c r="G23" i="3"/>
  <c r="B35" i="10" l="1"/>
  <c r="D30" i="10"/>
  <c r="D34" i="10" s="1"/>
  <c r="D23" i="10"/>
  <c r="D27" i="10" s="1"/>
  <c r="D31" i="10" s="1"/>
  <c r="D35" i="10" s="1"/>
  <c r="F16" i="19"/>
  <c r="G8" i="19"/>
  <c r="E77" i="18" l="1"/>
  <c r="G61" i="18"/>
  <c r="G74" i="18" s="1"/>
  <c r="H61" i="18"/>
  <c r="H74" i="18" s="1"/>
  <c r="I61" i="18"/>
  <c r="I74" i="18" s="1"/>
  <c r="J61" i="18"/>
  <c r="J74" i="18" s="1"/>
  <c r="A42" i="18"/>
  <c r="G42" i="18"/>
  <c r="I41" i="18"/>
  <c r="J41" i="18"/>
  <c r="I42" i="18"/>
  <c r="J42" i="18"/>
  <c r="H42" i="18"/>
  <c r="H41" i="18"/>
  <c r="G41" i="18"/>
  <c r="A41" i="18"/>
  <c r="H40" i="18"/>
  <c r="I40" i="18"/>
  <c r="J40" i="18"/>
  <c r="G40" i="18"/>
  <c r="A40" i="18"/>
  <c r="H39" i="18"/>
  <c r="I39" i="18"/>
  <c r="J39" i="18"/>
  <c r="A39" i="18"/>
  <c r="H10" i="3"/>
  <c r="J10" i="3"/>
  <c r="G92" i="10"/>
  <c r="F92" i="10"/>
  <c r="E92" i="10"/>
  <c r="D92" i="10"/>
  <c r="Z90" i="10"/>
  <c r="Z92" i="10" s="1"/>
  <c r="Y90" i="10"/>
  <c r="Y92" i="10" s="1"/>
  <c r="V89" i="10"/>
  <c r="V88" i="10"/>
  <c r="V87" i="10"/>
  <c r="V86" i="10"/>
  <c r="Q89" i="10"/>
  <c r="Q88" i="10"/>
  <c r="Q87" i="10"/>
  <c r="Q86" i="10"/>
  <c r="N86" i="10"/>
  <c r="O86" i="10"/>
  <c r="P86" i="10"/>
  <c r="B86" i="10"/>
  <c r="N89" i="10"/>
  <c r="O89" i="10"/>
  <c r="P89" i="10"/>
  <c r="M89" i="10"/>
  <c r="N88" i="10"/>
  <c r="O88" i="10"/>
  <c r="P88" i="10"/>
  <c r="O87" i="10"/>
  <c r="P87" i="10"/>
  <c r="N87" i="10"/>
  <c r="AD86" i="10" l="1"/>
  <c r="L89" i="10"/>
  <c r="V90" i="10"/>
  <c r="V92" i="10" s="1"/>
  <c r="F41" i="18"/>
  <c r="F40" i="18"/>
  <c r="AE86" i="10"/>
  <c r="AC86" i="10"/>
  <c r="F74" i="18"/>
  <c r="F61" i="18"/>
  <c r="F42" i="18"/>
  <c r="D110" i="2"/>
  <c r="D22" i="14" l="1"/>
  <c r="D28" i="14"/>
  <c r="E28" i="14"/>
  <c r="F28" i="14"/>
  <c r="G28" i="14"/>
  <c r="H28" i="14"/>
  <c r="I28" i="14"/>
  <c r="J28" i="14"/>
  <c r="E112" i="2" l="1"/>
  <c r="E113" i="2" s="1"/>
  <c r="E26" i="19" l="1"/>
  <c r="F8" i="19"/>
  <c r="E8" i="19"/>
  <c r="D14" i="10"/>
  <c r="D59" i="2" l="1"/>
  <c r="P43" i="10" l="1"/>
  <c r="Q73" i="10"/>
  <c r="E44" i="2" l="1"/>
  <c r="E93" i="2"/>
  <c r="E92" i="2"/>
  <c r="G34" i="19" l="1"/>
  <c r="AC89" i="10"/>
  <c r="AD89" i="10"/>
  <c r="AE89" i="10"/>
  <c r="AB89" i="10"/>
  <c r="U90" i="10"/>
  <c r="U92" i="10" s="1"/>
  <c r="T90" i="10"/>
  <c r="T92" i="10" s="1"/>
  <c r="N90" i="10"/>
  <c r="O90" i="10"/>
  <c r="O92" i="10" s="1"/>
  <c r="P90" i="10"/>
  <c r="M90" i="10"/>
  <c r="B90" i="10"/>
  <c r="I92" i="10"/>
  <c r="J92" i="10"/>
  <c r="K92" i="10"/>
  <c r="B89" i="10"/>
  <c r="AE90" i="10" l="1"/>
  <c r="P92" i="10"/>
  <c r="AC90" i="10"/>
  <c r="N92" i="10"/>
  <c r="AA89" i="10"/>
  <c r="Q90" i="10"/>
  <c r="Q92" i="10" s="1"/>
  <c r="AB90" i="10"/>
  <c r="L90" i="10"/>
  <c r="AD90" i="10"/>
  <c r="AA90" i="10" l="1"/>
  <c r="F12" i="3"/>
  <c r="F15" i="3"/>
  <c r="F19" i="3"/>
  <c r="F24" i="3"/>
  <c r="M14" i="10" l="1"/>
  <c r="K33" i="10"/>
  <c r="N19" i="10" l="1"/>
  <c r="N31" i="10"/>
  <c r="M30" i="10"/>
  <c r="N30" i="10"/>
  <c r="K31" i="10"/>
  <c r="L26" i="10"/>
  <c r="L30" i="10"/>
  <c r="C26" i="10"/>
  <c r="C27" i="10"/>
  <c r="M31" i="10" s="1"/>
  <c r="C28" i="10"/>
  <c r="M32" i="10" s="1"/>
  <c r="B27" i="10"/>
  <c r="L25" i="10" s="1"/>
  <c r="B26" i="10"/>
  <c r="M26" i="10" l="1"/>
  <c r="L31" i="10"/>
  <c r="C76" i="18" l="1"/>
  <c r="C34" i="19"/>
  <c r="C35" i="19"/>
  <c r="C38" i="19"/>
  <c r="C33" i="19"/>
  <c r="C26" i="19"/>
  <c r="C19" i="19"/>
  <c r="C27" i="18" s="1"/>
  <c r="M87" i="10"/>
  <c r="AB87" i="10" s="1"/>
  <c r="AD87" i="10"/>
  <c r="AE87" i="10"/>
  <c r="M88" i="10"/>
  <c r="AB88" i="10" s="1"/>
  <c r="AC88" i="10"/>
  <c r="AE88" i="10"/>
  <c r="B88" i="10"/>
  <c r="B87" i="10"/>
  <c r="B21" i="10"/>
  <c r="D21" i="10"/>
  <c r="C21" i="10"/>
  <c r="C22" i="18"/>
  <c r="C23" i="18"/>
  <c r="C25" i="18"/>
  <c r="E38" i="19"/>
  <c r="E30" i="14" s="1"/>
  <c r="D38" i="19"/>
  <c r="D30" i="14" s="1"/>
  <c r="E36" i="19"/>
  <c r="D36" i="19"/>
  <c r="D35" i="19"/>
  <c r="E35" i="19"/>
  <c r="D34" i="19"/>
  <c r="E34" i="19"/>
  <c r="D33" i="19"/>
  <c r="E33" i="19"/>
  <c r="D26" i="19"/>
  <c r="D20" i="19"/>
  <c r="D19" i="19"/>
  <c r="D26" i="14" s="1"/>
  <c r="D27" i="14" l="1"/>
  <c r="D25" i="18"/>
  <c r="AE92" i="10"/>
  <c r="D24" i="10"/>
  <c r="D28" i="10" s="1"/>
  <c r="D32" i="10" s="1"/>
  <c r="D25" i="10"/>
  <c r="D29" i="10" s="1"/>
  <c r="D33" i="10" s="1"/>
  <c r="G37" i="19"/>
  <c r="B24" i="10"/>
  <c r="B28" i="10" s="1"/>
  <c r="L32" i="10" s="1"/>
  <c r="B25" i="10"/>
  <c r="L29" i="10" s="1"/>
  <c r="F21" i="2"/>
  <c r="H37" i="19" l="1"/>
  <c r="F95" i="2" l="1"/>
  <c r="I37" i="19"/>
  <c r="J37" i="19" l="1"/>
  <c r="F37" i="19" s="1"/>
  <c r="C7" i="2" l="1"/>
  <c r="C13" i="2" l="1"/>
  <c r="C19" i="18" l="1"/>
  <c r="C18" i="18" s="1"/>
  <c r="C17" i="18" s="1"/>
  <c r="E26" i="10" l="1"/>
  <c r="O30" i="10"/>
  <c r="J73" i="10"/>
  <c r="L73" i="10" s="1"/>
  <c r="G73" i="10" l="1"/>
  <c r="C45" i="10" l="1"/>
  <c r="C36" i="10"/>
  <c r="C35" i="10"/>
  <c r="C34" i="10"/>
  <c r="E30" i="10" l="1"/>
  <c r="I30" i="10" s="1"/>
  <c r="N32" i="10"/>
  <c r="G26" i="10"/>
  <c r="I26" i="10"/>
  <c r="I22" i="10"/>
  <c r="G22" i="10"/>
  <c r="I19" i="10"/>
  <c r="G19" i="10"/>
  <c r="I16" i="10"/>
  <c r="G15" i="10"/>
  <c r="E14" i="10"/>
  <c r="G14" i="10" s="1"/>
  <c r="G30" i="10" l="1"/>
  <c r="I14" i="10"/>
  <c r="D8" i="3"/>
  <c r="D40" i="14" s="1"/>
  <c r="C8" i="3"/>
  <c r="D27" i="18" l="1"/>
  <c r="E23" i="18" l="1"/>
  <c r="D23" i="18"/>
  <c r="E22" i="18"/>
  <c r="D22" i="18"/>
  <c r="A49" i="19" l="1"/>
  <c r="A47" i="19"/>
  <c r="A46" i="19"/>
  <c r="J35" i="19"/>
  <c r="I35" i="19"/>
  <c r="H35" i="19"/>
  <c r="G35" i="19"/>
  <c r="J34" i="19"/>
  <c r="I34" i="19"/>
  <c r="H34" i="19"/>
  <c r="E32" i="19"/>
  <c r="D31" i="19"/>
  <c r="C31" i="19"/>
  <c r="E31" i="19" l="1"/>
  <c r="A48" i="19"/>
  <c r="E20" i="19"/>
  <c r="E27" i="14" l="1"/>
  <c r="E25" i="18"/>
  <c r="F43" i="2"/>
  <c r="F47" i="2" l="1"/>
  <c r="E26" i="2" l="1"/>
  <c r="E14" i="2" s="1"/>
  <c r="F23" i="3" l="1"/>
  <c r="J23" i="3"/>
  <c r="J8" i="3" s="1"/>
  <c r="J40" i="14" s="1"/>
  <c r="H23" i="3"/>
  <c r="H8" i="3" s="1"/>
  <c r="I23" i="3"/>
  <c r="I8" i="3" s="1"/>
  <c r="M86" i="10"/>
  <c r="M92" i="10" s="1"/>
  <c r="G90" i="2"/>
  <c r="G85" i="2" s="1"/>
  <c r="F13" i="3"/>
  <c r="G114" i="2" l="1"/>
  <c r="G39" i="18"/>
  <c r="F39" i="18" s="1"/>
  <c r="G10" i="3"/>
  <c r="F10" i="3" s="1"/>
  <c r="L86" i="10"/>
  <c r="AB86" i="10"/>
  <c r="AB92" i="10" s="1"/>
  <c r="H90" i="2"/>
  <c r="G33" i="19"/>
  <c r="J114" i="2"/>
  <c r="F79" i="2" l="1"/>
  <c r="F84" i="2"/>
  <c r="F80" i="2"/>
  <c r="F82" i="2"/>
  <c r="F81" i="2"/>
  <c r="F73" i="2"/>
  <c r="H114" i="2"/>
  <c r="F83" i="2"/>
  <c r="G8" i="3"/>
  <c r="F8" i="3" s="1"/>
  <c r="F40" i="14" s="1"/>
  <c r="AA86" i="10"/>
  <c r="I90" i="2"/>
  <c r="H33" i="19"/>
  <c r="J90" i="2" l="1"/>
  <c r="I33" i="19"/>
  <c r="F38" i="2" l="1"/>
  <c r="J33" i="19"/>
  <c r="F44" i="2" l="1"/>
  <c r="E110" i="2" l="1"/>
  <c r="E109" i="2" s="1"/>
  <c r="D109" i="2"/>
  <c r="C109" i="2"/>
  <c r="C116" i="2" s="1"/>
  <c r="F93" i="2" l="1"/>
  <c r="F92" i="2"/>
  <c r="F91" i="2"/>
  <c r="E90" i="2"/>
  <c r="D90" i="2"/>
  <c r="C90" i="2"/>
  <c r="J85" i="2" s="1"/>
  <c r="J15" i="14" s="1"/>
  <c r="D75" i="2"/>
  <c r="C75" i="2"/>
  <c r="E72" i="2"/>
  <c r="F90" i="2" l="1"/>
  <c r="F34" i="19"/>
  <c r="F33" i="19"/>
  <c r="F35" i="19"/>
  <c r="I85" i="2"/>
  <c r="I15" i="14" s="1"/>
  <c r="D85" i="2"/>
  <c r="E68" i="2"/>
  <c r="C68" i="2"/>
  <c r="C85" i="2" l="1"/>
  <c r="D15" i="14"/>
  <c r="D68" i="2"/>
  <c r="D14" i="14" s="1"/>
  <c r="E14" i="14"/>
  <c r="H85" i="2"/>
  <c r="F85" i="2"/>
  <c r="E85" i="2"/>
  <c r="E115" i="2" s="1"/>
  <c r="E59" i="2"/>
  <c r="C59" i="2"/>
  <c r="F15" i="14" l="1"/>
  <c r="E15" i="14"/>
  <c r="H15" i="14"/>
  <c r="G15" i="14" l="1"/>
  <c r="F58" i="2"/>
  <c r="E46" i="2" l="1"/>
  <c r="E37" i="2" s="1"/>
  <c r="D46" i="2"/>
  <c r="F42" i="2" l="1"/>
  <c r="C37" i="2" l="1"/>
  <c r="J34" i="2"/>
  <c r="I34" i="2"/>
  <c r="H34" i="2"/>
  <c r="G34" i="2"/>
  <c r="A34" i="2"/>
  <c r="D26" i="2" l="1"/>
  <c r="C26" i="2"/>
  <c r="I114" i="2"/>
  <c r="C25" i="2"/>
  <c r="A24" i="2"/>
  <c r="F25" i="2" l="1"/>
  <c r="F114" i="2" s="1"/>
  <c r="F28" i="2"/>
  <c r="A23" i="2"/>
  <c r="F23" i="2" l="1"/>
  <c r="D14" i="2" l="1"/>
  <c r="D10" i="14" s="1"/>
  <c r="C14" i="2" l="1"/>
  <c r="E7" i="2"/>
  <c r="D7" i="2"/>
  <c r="D13" i="2" l="1"/>
  <c r="G43" i="10" s="1"/>
  <c r="C107" i="2"/>
  <c r="C40" i="14"/>
  <c r="B40" i="14"/>
  <c r="B38" i="14"/>
  <c r="J37" i="14"/>
  <c r="I37" i="14"/>
  <c r="H37" i="14"/>
  <c r="G37" i="14"/>
  <c r="F37" i="14"/>
  <c r="D37" i="14"/>
  <c r="C37" i="14"/>
  <c r="B37" i="14"/>
  <c r="J36" i="14"/>
  <c r="I36" i="14"/>
  <c r="H36" i="14"/>
  <c r="G36" i="14"/>
  <c r="F36" i="14"/>
  <c r="D36" i="14"/>
  <c r="C36" i="14"/>
  <c r="B36" i="14"/>
  <c r="J35" i="14"/>
  <c r="I35" i="14"/>
  <c r="H35" i="14"/>
  <c r="G35" i="14"/>
  <c r="F35" i="14"/>
  <c r="D35" i="14"/>
  <c r="C35" i="14"/>
  <c r="B35" i="14"/>
  <c r="B34" i="14"/>
  <c r="E33" i="14"/>
  <c r="D33" i="14"/>
  <c r="C33" i="14"/>
  <c r="B33" i="14"/>
  <c r="B31" i="14"/>
  <c r="C30" i="14"/>
  <c r="B30" i="14"/>
  <c r="D9" i="14" l="1"/>
  <c r="D35" i="2"/>
  <c r="D11" i="14" s="1"/>
  <c r="D106" i="2"/>
  <c r="B29" i="14"/>
  <c r="C28" i="14"/>
  <c r="B28" i="14"/>
  <c r="C27" i="14"/>
  <c r="B27" i="14"/>
  <c r="C26" i="14"/>
  <c r="B26" i="14"/>
  <c r="D43" i="10" l="1"/>
  <c r="C35" i="2"/>
  <c r="C106" i="2"/>
  <c r="B25" i="14"/>
  <c r="B23" i="14"/>
  <c r="C22" i="14"/>
  <c r="B22" i="14"/>
  <c r="C96" i="2" l="1"/>
  <c r="C101" i="2" s="1"/>
  <c r="B21" i="14"/>
  <c r="J20" i="14"/>
  <c r="I20" i="14"/>
  <c r="H20" i="14"/>
  <c r="G20" i="14"/>
  <c r="F20" i="14"/>
  <c r="D20" i="14"/>
  <c r="C20" i="14"/>
  <c r="B20" i="14"/>
  <c r="J19" i="14"/>
  <c r="I19" i="14"/>
  <c r="H19" i="14"/>
  <c r="G19" i="14"/>
  <c r="F19" i="14"/>
  <c r="D19" i="14"/>
  <c r="C19" i="14"/>
  <c r="B19" i="14"/>
  <c r="J18" i="14"/>
  <c r="I18" i="14"/>
  <c r="H18" i="14"/>
  <c r="G18" i="14"/>
  <c r="F18" i="14"/>
  <c r="D18" i="14"/>
  <c r="C18" i="14"/>
  <c r="B18" i="14"/>
  <c r="J17" i="14"/>
  <c r="I17" i="14"/>
  <c r="H17" i="14"/>
  <c r="G17" i="14"/>
  <c r="F17" i="14"/>
  <c r="D17" i="14"/>
  <c r="C17" i="14"/>
  <c r="B17" i="14"/>
  <c r="C8" i="18" l="1"/>
  <c r="C104" i="2"/>
  <c r="C18" i="19" s="1"/>
  <c r="C25" i="14" s="1"/>
  <c r="C21" i="14"/>
  <c r="C16" i="14"/>
  <c r="B16" i="14"/>
  <c r="C15" i="14"/>
  <c r="B15" i="14"/>
  <c r="B14" i="14"/>
  <c r="B13" i="14"/>
  <c r="J12" i="14"/>
  <c r="I12" i="14"/>
  <c r="H12" i="14"/>
  <c r="G12" i="14"/>
  <c r="F12" i="14"/>
  <c r="D12" i="14"/>
  <c r="C12" i="14"/>
  <c r="B12" i="14"/>
  <c r="C80" i="18" l="1"/>
  <c r="C28" i="18"/>
  <c r="C38" i="14"/>
  <c r="C34" i="14"/>
  <c r="E13" i="2"/>
  <c r="E9" i="14" s="1"/>
  <c r="C11" i="14"/>
  <c r="B11" i="14"/>
  <c r="B10" i="14"/>
  <c r="C9" i="14"/>
  <c r="B9" i="14"/>
  <c r="C14" i="14"/>
  <c r="E13" i="14"/>
  <c r="D37" i="2"/>
  <c r="D13" i="14" s="1"/>
  <c r="D22" i="19"/>
  <c r="C22" i="19"/>
  <c r="C24" i="18" s="1"/>
  <c r="C20" i="18" s="1"/>
  <c r="E22" i="19"/>
  <c r="E10" i="14"/>
  <c r="C10" i="14"/>
  <c r="E116" i="2"/>
  <c r="E20" i="18" s="1"/>
  <c r="D116" i="2"/>
  <c r="C25" i="10"/>
  <c r="C29" i="10" s="1"/>
  <c r="D36" i="10"/>
  <c r="E29" i="14" l="1"/>
  <c r="D24" i="18"/>
  <c r="D29" i="14"/>
  <c r="C39" i="19"/>
  <c r="C31" i="14" s="1"/>
  <c r="E35" i="2"/>
  <c r="E96" i="2" s="1"/>
  <c r="E101" i="2" s="1"/>
  <c r="E24" i="18"/>
  <c r="C29" i="14"/>
  <c r="I45" i="10"/>
  <c r="G45" i="10" s="1"/>
  <c r="D45" i="10" s="1"/>
  <c r="E17" i="18"/>
  <c r="E106" i="2"/>
  <c r="D107" i="2"/>
  <c r="D96" i="2"/>
  <c r="D16" i="14" s="1"/>
  <c r="C13" i="14"/>
  <c r="I75" i="2" l="1"/>
  <c r="F77" i="2"/>
  <c r="E11" i="14"/>
  <c r="D101" i="2"/>
  <c r="J75" i="2" l="1"/>
  <c r="F78" i="2"/>
  <c r="H75" i="2"/>
  <c r="G75" i="2"/>
  <c r="G59" i="2"/>
  <c r="E16" i="14"/>
  <c r="F76" i="2"/>
  <c r="F75" i="2" s="1"/>
  <c r="D8" i="18"/>
  <c r="D21" i="14"/>
  <c r="D104" i="2"/>
  <c r="E21" i="14" l="1"/>
  <c r="E8" i="18"/>
  <c r="E102" i="2"/>
  <c r="E104" i="2" s="1"/>
  <c r="F49" i="2"/>
  <c r="D23" i="14"/>
  <c r="C23" i="14"/>
  <c r="D80" i="18"/>
  <c r="D79" i="18" s="1"/>
  <c r="D38" i="14" s="1"/>
  <c r="D28" i="18"/>
  <c r="D34" i="14" s="1"/>
  <c r="D18" i="19"/>
  <c r="D25" i="14" s="1"/>
  <c r="G57" i="2"/>
  <c r="G37" i="2" s="1"/>
  <c r="E19" i="19" l="1"/>
  <c r="E22" i="14"/>
  <c r="E107" i="2"/>
  <c r="E80" i="18"/>
  <c r="E23" i="14"/>
  <c r="E18" i="19"/>
  <c r="E28" i="18"/>
  <c r="E34" i="14" s="1"/>
  <c r="D39" i="19"/>
  <c r="D31" i="14" s="1"/>
  <c r="D76" i="18"/>
  <c r="E79" i="18" l="1"/>
  <c r="E76" i="18" s="1"/>
  <c r="E25" i="14"/>
  <c r="E39" i="19"/>
  <c r="E31" i="14" s="1"/>
  <c r="E27" i="18"/>
  <c r="E26" i="14"/>
  <c r="G77" i="18" l="1"/>
  <c r="G33" i="14" s="1"/>
  <c r="E38" i="14"/>
  <c r="F77" i="18"/>
  <c r="F33" i="14" s="1"/>
  <c r="F32" i="2"/>
  <c r="F31" i="2"/>
  <c r="E34" i="10" l="1"/>
  <c r="G34" i="10" s="1"/>
  <c r="I34" i="10" l="1"/>
  <c r="F56" i="2"/>
  <c r="J68" i="2"/>
  <c r="J59" i="2" l="1"/>
  <c r="J57" i="2" s="1"/>
  <c r="J37" i="2" s="1"/>
  <c r="I59" i="2"/>
  <c r="I57" i="2" s="1"/>
  <c r="H59" i="2"/>
  <c r="F24" i="2"/>
  <c r="I68" i="2"/>
  <c r="F46" i="2" l="1"/>
  <c r="F45" i="2"/>
  <c r="E23" i="10" s="1"/>
  <c r="G13" i="14"/>
  <c r="J14" i="14"/>
  <c r="H57" i="2"/>
  <c r="F57" i="2" s="1"/>
  <c r="F59" i="2"/>
  <c r="H37" i="2" l="1"/>
  <c r="I26" i="2"/>
  <c r="J13" i="14"/>
  <c r="F30" i="2"/>
  <c r="E27" i="10"/>
  <c r="H13" i="14" l="1"/>
  <c r="F27" i="2"/>
  <c r="J26" i="2"/>
  <c r="I14" i="14"/>
  <c r="E31" i="10"/>
  <c r="O31" i="10"/>
  <c r="I23" i="10"/>
  <c r="G23" i="10"/>
  <c r="G26" i="2" l="1"/>
  <c r="G27" i="10"/>
  <c r="I27" i="10"/>
  <c r="E35" i="10"/>
  <c r="G31" i="10"/>
  <c r="I31" i="10"/>
  <c r="E19" i="18" l="1"/>
  <c r="I35" i="10"/>
  <c r="G35" i="10"/>
  <c r="D19" i="18" l="1"/>
  <c r="D18" i="18" s="1"/>
  <c r="D17" i="18" s="1"/>
  <c r="E18" i="18"/>
  <c r="G68" i="2" l="1"/>
  <c r="G14" i="14" l="1"/>
  <c r="F71" i="2" l="1"/>
  <c r="F72" i="2"/>
  <c r="H68" i="2" l="1"/>
  <c r="F68" i="2" l="1"/>
  <c r="F14" i="14" s="1"/>
  <c r="H14" i="14"/>
  <c r="D20" i="18" l="1"/>
  <c r="D21" i="18" s="1"/>
  <c r="I37" i="2"/>
  <c r="F37" i="2" l="1"/>
  <c r="F13" i="14" s="1"/>
  <c r="I13" i="14"/>
  <c r="F17" i="2" l="1"/>
  <c r="F8" i="2" l="1"/>
  <c r="G40" i="14" l="1"/>
  <c r="E8" i="3"/>
  <c r="E40" i="14" s="1"/>
  <c r="F17" i="3"/>
  <c r="H40" i="14"/>
  <c r="AC87" i="10" l="1"/>
  <c r="AC92" i="10" s="1"/>
  <c r="L87" i="10"/>
  <c r="AA87" i="10" l="1"/>
  <c r="F18" i="3"/>
  <c r="I40" i="14"/>
  <c r="L88" i="10" l="1"/>
  <c r="L92" i="10" s="1"/>
  <c r="AD88" i="10"/>
  <c r="AD92" i="10" s="1"/>
  <c r="AA88" i="10" l="1"/>
  <c r="AA92" i="10" s="1"/>
  <c r="V93" i="10" l="1"/>
  <c r="G93" i="10"/>
  <c r="F29" i="2" l="1"/>
  <c r="H26" i="2"/>
  <c r="F26" i="2" l="1"/>
  <c r="F20" i="2" l="1"/>
  <c r="F22" i="2"/>
  <c r="H111" i="2" l="1"/>
  <c r="G111" i="2"/>
  <c r="J111" i="2" l="1"/>
  <c r="F16" i="2" l="1"/>
  <c r="F111" i="2" s="1"/>
  <c r="I111" i="2"/>
  <c r="G110" i="2" l="1"/>
  <c r="H110" i="2" l="1"/>
  <c r="H109" i="2" s="1"/>
  <c r="G109" i="2"/>
  <c r="I110" i="2" l="1"/>
  <c r="I109" i="2" s="1"/>
  <c r="J110" i="2" l="1"/>
  <c r="J109" i="2" s="1"/>
  <c r="F15" i="2"/>
  <c r="F110" i="2" l="1"/>
  <c r="F109" i="2" l="1"/>
  <c r="G36" i="19" l="1"/>
  <c r="G31" i="19" s="1"/>
  <c r="G26" i="19"/>
  <c r="H36" i="19" l="1"/>
  <c r="H31" i="19" s="1"/>
  <c r="H26" i="19"/>
  <c r="G14" i="2"/>
  <c r="I36" i="19" l="1"/>
  <c r="I31" i="19" s="1"/>
  <c r="I26" i="19"/>
  <c r="H14" i="2"/>
  <c r="G22" i="18"/>
  <c r="J36" i="19" l="1"/>
  <c r="J31" i="19" s="1"/>
  <c r="J26" i="19"/>
  <c r="I14" i="2"/>
  <c r="H22" i="18"/>
  <c r="G10" i="14"/>
  <c r="G22" i="19"/>
  <c r="H23" i="18"/>
  <c r="H38" i="19"/>
  <c r="H30" i="14" s="1"/>
  <c r="G38" i="19"/>
  <c r="G30" i="14" s="1"/>
  <c r="G23" i="18"/>
  <c r="J14" i="2" l="1"/>
  <c r="F14" i="2" s="1"/>
  <c r="F19" i="2"/>
  <c r="F113" i="2" s="1"/>
  <c r="I10" i="14"/>
  <c r="H22" i="19"/>
  <c r="H29" i="14" s="1"/>
  <c r="I22" i="18"/>
  <c r="I23" i="18"/>
  <c r="I38" i="19"/>
  <c r="I30" i="14" s="1"/>
  <c r="H10" i="14"/>
  <c r="G24" i="18"/>
  <c r="G29" i="14"/>
  <c r="F18" i="2"/>
  <c r="F112" i="2" s="1"/>
  <c r="E21" i="10" s="1"/>
  <c r="H24" i="18" l="1"/>
  <c r="I22" i="19"/>
  <c r="F26" i="19"/>
  <c r="J22" i="18"/>
  <c r="J10" i="14"/>
  <c r="J23" i="18"/>
  <c r="J38" i="19"/>
  <c r="J30" i="14" s="1"/>
  <c r="F36" i="19" l="1"/>
  <c r="F23" i="18"/>
  <c r="F38" i="19"/>
  <c r="I24" i="18"/>
  <c r="I29" i="14"/>
  <c r="J22" i="19"/>
  <c r="F10" i="14"/>
  <c r="F22" i="18"/>
  <c r="F31" i="19" l="1"/>
  <c r="F22" i="19" s="1"/>
  <c r="F30" i="14"/>
  <c r="G21" i="10"/>
  <c r="G25" i="10" s="1"/>
  <c r="E24" i="10"/>
  <c r="E25" i="10"/>
  <c r="I21" i="10"/>
  <c r="J24" i="18"/>
  <c r="J29" i="14"/>
  <c r="F24" i="18" l="1"/>
  <c r="F29" i="14"/>
  <c r="G20" i="19"/>
  <c r="J7" i="2"/>
  <c r="J13" i="2" s="1"/>
  <c r="J35" i="2" s="1"/>
  <c r="J20" i="19"/>
  <c r="I7" i="2"/>
  <c r="I13" i="2" s="1"/>
  <c r="E29" i="10"/>
  <c r="I25" i="10"/>
  <c r="H7" i="2"/>
  <c r="H13" i="2" s="1"/>
  <c r="E28" i="10"/>
  <c r="G24" i="10"/>
  <c r="I24" i="10"/>
  <c r="G25" i="18" l="1"/>
  <c r="G27" i="14"/>
  <c r="J27" i="14"/>
  <c r="J25" i="18"/>
  <c r="I20" i="19"/>
  <c r="J19" i="18"/>
  <c r="J18" i="18" s="1"/>
  <c r="J17" i="18" s="1"/>
  <c r="F10" i="2"/>
  <c r="I28" i="10"/>
  <c r="O32" i="10"/>
  <c r="O29" i="10" s="1"/>
  <c r="G28" i="10"/>
  <c r="E32" i="10"/>
  <c r="E33" i="10"/>
  <c r="G29" i="10"/>
  <c r="I29" i="10"/>
  <c r="G7" i="2"/>
  <c r="F7" i="2" l="1"/>
  <c r="G13" i="2"/>
  <c r="H35" i="2"/>
  <c r="H11" i="14" s="1"/>
  <c r="J106" i="2"/>
  <c r="J96" i="2"/>
  <c r="J9" i="14"/>
  <c r="I27" i="14"/>
  <c r="I25" i="18"/>
  <c r="G33" i="10"/>
  <c r="I33" i="10"/>
  <c r="E36" i="10"/>
  <c r="G32" i="10"/>
  <c r="I32" i="10"/>
  <c r="J11" i="14" l="1"/>
  <c r="H96" i="2"/>
  <c r="H16" i="14" s="1"/>
  <c r="H106" i="2"/>
  <c r="H19" i="18"/>
  <c r="H18" i="18" s="1"/>
  <c r="H17" i="18" s="1"/>
  <c r="H9" i="14"/>
  <c r="I35" i="2"/>
  <c r="I19" i="18"/>
  <c r="I18" i="18" s="1"/>
  <c r="I17" i="18" s="1"/>
  <c r="I106" i="2"/>
  <c r="I9" i="14"/>
  <c r="H20" i="19"/>
  <c r="F11" i="2"/>
  <c r="I36" i="10"/>
  <c r="G36" i="10"/>
  <c r="J16" i="14"/>
  <c r="J101" i="2"/>
  <c r="J102" i="2" s="1"/>
  <c r="H101" i="2" l="1"/>
  <c r="H102" i="2" s="1"/>
  <c r="I11" i="14"/>
  <c r="I96" i="2"/>
  <c r="H27" i="14"/>
  <c r="H25" i="18"/>
  <c r="F20" i="19"/>
  <c r="J8" i="18"/>
  <c r="J21" i="14"/>
  <c r="G35" i="2"/>
  <c r="G106" i="2"/>
  <c r="F13" i="2"/>
  <c r="G9" i="14"/>
  <c r="G19" i="18"/>
  <c r="G18" i="18" s="1"/>
  <c r="G17" i="18" s="1"/>
  <c r="H8" i="18"/>
  <c r="H21" i="14"/>
  <c r="I101" i="2" l="1"/>
  <c r="I16" i="14"/>
  <c r="F25" i="18"/>
  <c r="F27" i="14"/>
  <c r="F35" i="2"/>
  <c r="F96" i="2" s="1"/>
  <c r="G96" i="2"/>
  <c r="H104" i="2"/>
  <c r="H18" i="19" s="1"/>
  <c r="H22" i="14"/>
  <c r="H19" i="19"/>
  <c r="H26" i="14" s="1"/>
  <c r="H27" i="18"/>
  <c r="H107" i="2"/>
  <c r="G11" i="14"/>
  <c r="J104" i="2"/>
  <c r="J18" i="19" s="1"/>
  <c r="J19" i="19"/>
  <c r="J26" i="14" s="1"/>
  <c r="J22" i="14"/>
  <c r="J27" i="18"/>
  <c r="J107" i="2"/>
  <c r="F19" i="18"/>
  <c r="F18" i="18" s="1"/>
  <c r="F17" i="18" s="1"/>
  <c r="F9" i="14"/>
  <c r="L43" i="10"/>
  <c r="L45" i="10" s="1"/>
  <c r="F106" i="2"/>
  <c r="I102" i="2" l="1"/>
  <c r="I8" i="18"/>
  <c r="I21" i="14"/>
  <c r="J23" i="14"/>
  <c r="J80" i="18"/>
  <c r="J28" i="18"/>
  <c r="H116" i="2"/>
  <c r="J116" i="2"/>
  <c r="J115" i="2" s="1"/>
  <c r="G101" i="2"/>
  <c r="G16" i="14"/>
  <c r="H28" i="18"/>
  <c r="H23" i="14"/>
  <c r="H80" i="18"/>
  <c r="F11" i="14"/>
  <c r="I104" i="2" l="1"/>
  <c r="I27" i="18"/>
  <c r="I19" i="19"/>
  <c r="I26" i="14" s="1"/>
  <c r="I22" i="14"/>
  <c r="I107" i="2"/>
  <c r="G102" i="2"/>
  <c r="H115" i="2"/>
  <c r="H39" i="19"/>
  <c r="H31" i="14" s="1"/>
  <c r="H25" i="14"/>
  <c r="J34" i="14"/>
  <c r="J20" i="18"/>
  <c r="J21" i="18" s="1"/>
  <c r="F101" i="2"/>
  <c r="F16" i="14"/>
  <c r="H34" i="14"/>
  <c r="H20" i="18"/>
  <c r="H21" i="18" s="1"/>
  <c r="G8" i="18"/>
  <c r="F8" i="18" s="1"/>
  <c r="G21" i="14"/>
  <c r="J25" i="14"/>
  <c r="J39" i="19"/>
  <c r="J31" i="14" s="1"/>
  <c r="I116" i="2" l="1"/>
  <c r="I115" i="2" s="1"/>
  <c r="I18" i="19"/>
  <c r="I80" i="18"/>
  <c r="I28" i="18"/>
  <c r="I23" i="14"/>
  <c r="G107" i="2"/>
  <c r="G116" i="2" s="1"/>
  <c r="F102" i="2"/>
  <c r="F107" i="2" s="1"/>
  <c r="F116" i="2" s="1"/>
  <c r="F115" i="2" s="1"/>
  <c r="G104" i="2"/>
  <c r="F21" i="14"/>
  <c r="G19" i="19"/>
  <c r="G26" i="14" s="1"/>
  <c r="G22" i="14"/>
  <c r="G27" i="18"/>
  <c r="I39" i="19" l="1"/>
  <c r="I31" i="14" s="1"/>
  <c r="I25" i="14"/>
  <c r="I34" i="14"/>
  <c r="I20" i="18"/>
  <c r="I21" i="18" s="1"/>
  <c r="G23" i="14"/>
  <c r="G18" i="19"/>
  <c r="G39" i="19" s="1"/>
  <c r="G31" i="14" s="1"/>
  <c r="G80" i="18"/>
  <c r="G28" i="18"/>
  <c r="G20" i="18" s="1"/>
  <c r="G21" i="18" s="1"/>
  <c r="F104" i="2"/>
  <c r="F22" i="14"/>
  <c r="F27" i="18"/>
  <c r="F19" i="19"/>
  <c r="F26" i="14" s="1"/>
  <c r="G115" i="2"/>
  <c r="G79" i="18" l="1"/>
  <c r="G76" i="18" s="1"/>
  <c r="G25" i="14"/>
  <c r="G38" i="14"/>
  <c r="F18" i="19"/>
  <c r="F39" i="19" s="1"/>
  <c r="F31" i="14" s="1"/>
  <c r="G34" i="14"/>
  <c r="F28" i="18"/>
  <c r="F20" i="18" s="1"/>
  <c r="F21" i="18" s="1"/>
  <c r="F80" i="18"/>
  <c r="F79" i="18" s="1"/>
  <c r="F38" i="14" s="1"/>
  <c r="F23" i="14"/>
  <c r="F34" i="14" l="1"/>
  <c r="H77" i="18"/>
  <c r="F25" i="14"/>
  <c r="F76" i="18"/>
  <c r="H79" i="18" l="1"/>
  <c r="H33" i="14"/>
  <c r="H38" i="14" l="1"/>
  <c r="I77" i="18"/>
  <c r="H76" i="18"/>
  <c r="I79" i="18" l="1"/>
  <c r="I33" i="14"/>
  <c r="I76" i="18" l="1"/>
  <c r="J77" i="18"/>
  <c r="I38" i="14"/>
  <c r="J79" i="18" l="1"/>
  <c r="J33" i="14"/>
  <c r="J38" i="14" l="1"/>
  <c r="J76" i="18"/>
</calcChain>
</file>

<file path=xl/comments1.xml><?xml version="1.0" encoding="utf-8"?>
<comments xmlns="http://schemas.openxmlformats.org/spreadsheetml/2006/main">
  <authors>
    <author>Admin</author>
    <author>User</author>
  </authors>
  <commentList>
    <comment ref="E1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-499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75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25,2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76" authorId="0" shapeId="0">
      <text>
        <r>
          <rPr>
            <b/>
            <sz val="9"/>
            <color indexed="81"/>
            <rFont val="Tahoma"/>
            <family val="2"/>
            <charset val="204"/>
          </rPr>
          <t>1005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  <charset val="204"/>
          </rPr>
          <t>13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110,1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<sst xmlns="http://schemas.openxmlformats.org/spreadsheetml/2006/main" count="583" uniqueCount="420">
  <si>
    <t>Код рядка</t>
  </si>
  <si>
    <t>придбання (створення) нематеріальних активів</t>
  </si>
  <si>
    <t>Витрати на оплату праці</t>
  </si>
  <si>
    <t>Відрахування на соціальні заходи</t>
  </si>
  <si>
    <t>Амортизація</t>
  </si>
  <si>
    <t xml:space="preserve">Код рядка </t>
  </si>
  <si>
    <t>Усього доходів</t>
  </si>
  <si>
    <t>витрати на страхові послуги</t>
  </si>
  <si>
    <t>витрати на аудиторські послуги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</si>
  <si>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</si>
  <si>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</si>
  <si>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</si>
  <si>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</si>
  <si>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</si>
  <si>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</si>
  <si>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</si>
  <si>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</si>
  <si>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</si>
  <si>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</si>
  <si>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</si>
  <si>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</si>
  <si>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</si>
  <si>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</si>
  <si>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</si>
  <si>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</si>
  <si>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</si>
  <si>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</si>
  <si>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</si>
  <si>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</si>
  <si>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</si>
  <si>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</si>
  <si>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</si>
  <si>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</si>
  <si>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</si>
  <si>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</si>
  <si>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</si>
  <si>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</si>
  <si>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</si>
  <si>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</si>
  <si>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</si>
  <si>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</si>
  <si>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</si>
  <si>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</si>
  <si>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</si>
  <si>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</si>
  <si>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</si>
  <si>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</si>
  <si>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</si>
  <si>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</si>
  <si>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</si>
  <si>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</si>
  <si>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>Процентна ставка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</si>
  <si>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</si>
  <si>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</si>
  <si>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</si>
  <si>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ІV </t>
  </si>
  <si>
    <t>за минулий рік</t>
  </si>
  <si>
    <t xml:space="preserve">ІІІ </t>
  </si>
  <si>
    <t xml:space="preserve">І </t>
  </si>
  <si>
    <t xml:space="preserve">ІІ 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</si>
  <si>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</si>
  <si>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</si>
  <si>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</si>
  <si>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</si>
  <si>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</si>
  <si>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</si>
  <si>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</si>
  <si>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</si>
  <si>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Заборгованість на останню дату</t>
  </si>
  <si>
    <t>Заборгованість за кредитами на кінець ______ року</t>
  </si>
  <si>
    <t>Бюджетне фінансування</t>
  </si>
  <si>
    <t>інші платежі (розшифрувати)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</si>
  <si>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</si>
  <si>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</si>
  <si>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</si>
  <si>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</si>
  <si>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</si>
  <si>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</si>
  <si>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</si>
  <si>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І. Формування фінансових результатів</t>
  </si>
  <si>
    <t>плата за користування надрами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</si>
  <si>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</si>
  <si>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</si>
  <si>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</si>
  <si>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</si>
  <si>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</si>
  <si>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</si>
  <si>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</si>
  <si>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Інші фінансові доходи (розшифрувати)</t>
  </si>
  <si>
    <t>Фінансові витрати (розшифрувати)</t>
  </si>
  <si>
    <t>Інші витрати (розшифрувати)</t>
  </si>
  <si>
    <t>Інші фонди (розшифрувати)</t>
  </si>
  <si>
    <t>Інші цілі (розшифрувати)</t>
  </si>
  <si>
    <t>Усього витрат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</si>
  <si>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</si>
  <si>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</si>
  <si>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</si>
  <si>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</si>
  <si>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</si>
  <si>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</si>
  <si>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</si>
  <si>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</si>
  <si>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</si>
  <si>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</si>
  <si>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у тому числі за основними видами діяльності за КВЕД</t>
  </si>
  <si>
    <t>(найменування підприємства)</t>
  </si>
  <si>
    <t>Середньооблікова чисельність осіб, у тому числі:</t>
  </si>
  <si>
    <t>Плановий 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</si>
  <si>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</si>
  <si>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</si>
  <si>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</si>
  <si>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</si>
  <si>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</si>
  <si>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</si>
  <si>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</si>
  <si>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</si>
  <si>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Розподіл чистого прибутку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</si>
  <si>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</si>
  <si>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</si>
  <si>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</si>
  <si>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</si>
  <si>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</si>
  <si>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</si>
  <si>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</si>
  <si>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</si>
  <si>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</si>
  <si>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відсотків </t>
  </si>
  <si>
    <t>дивідендів </t>
  </si>
  <si>
    <t>Надходження від деривативів</t>
  </si>
  <si>
    <t>Власного капіталу </t>
  </si>
  <si>
    <t xml:space="preserve">Вплив зміни валютних курсів на залишок коштів </t>
  </si>
  <si>
    <t>погашення податкового боргу, у тому числі:</t>
  </si>
  <si>
    <t>Собівартість реалізованої продукції (товарів, робіт, послуг)</t>
  </si>
  <si>
    <t xml:space="preserve">Прибуток (збиток) від звичайної діяльності до оподаткування </t>
  </si>
  <si>
    <t>Коригування на: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</si>
  <si>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</si>
  <si>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</si>
  <si>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</si>
  <si>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</si>
  <si>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</si>
  <si>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</si>
  <si>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</si>
  <si>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</si>
  <si>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</si>
  <si>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 xml:space="preserve">І  </t>
  </si>
  <si>
    <t xml:space="preserve">ІІ  </t>
  </si>
  <si>
    <t xml:space="preserve">ІІІ  </t>
  </si>
  <si>
    <t>Перенесено з додаткового капіталу</t>
  </si>
  <si>
    <t>Марка</t>
  </si>
  <si>
    <t>Рік придбання</t>
  </si>
  <si>
    <t>матеріальні витрати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</si>
  <si>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</si>
  <si>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</si>
  <si>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</si>
  <si>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</si>
  <si>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</si>
  <si>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</si>
  <si>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</si>
  <si>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</si>
  <si>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витрати на оренду службових автомобілів</t>
  </si>
  <si>
    <t>Капітальні інвестиції</t>
  </si>
  <si>
    <t>IV. Капітальні інвестиції</t>
  </si>
  <si>
    <t xml:space="preserve">IV. Капітальні інвестиції 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</si>
  <si>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</si>
  <si>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</si>
  <si>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</si>
  <si>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</si>
  <si>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</si>
  <si>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</si>
  <si>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Адміністративні витрати, у тому числі:</t>
  </si>
  <si>
    <t>Витрати на збут, у тому числі: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</si>
  <si>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</si>
  <si>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</si>
  <si>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</si>
  <si>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Найменування об’єкта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</si>
  <si>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</si>
  <si>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</si>
  <si>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</si>
  <si>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</si>
  <si>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</si>
  <si>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>директор</t>
  </si>
  <si>
    <t>працівники</t>
  </si>
  <si>
    <t>Найменування показника</t>
  </si>
  <si>
    <t>Дивіденди/відрахування частини чистого прибутку</t>
  </si>
  <si>
    <t>Усього виплат на користь держави</t>
  </si>
  <si>
    <t>I. Формування фінансових результатів</t>
  </si>
  <si>
    <t>Надходження</t>
  </si>
  <si>
    <t xml:space="preserve">Надходження </t>
  </si>
  <si>
    <t>Витрати</t>
  </si>
  <si>
    <t>Фонд оплати праці, тис. гривень, у тому числі:</t>
  </si>
  <si>
    <t>Витрати на оплату праці, тис. гривень, у тому числі:</t>
  </si>
  <si>
    <t>адміністративно-управлінський персонал</t>
  </si>
  <si>
    <t xml:space="preserve">                    (підпис)</t>
  </si>
  <si>
    <r>
      <t xml:space="preserve">Керівник </t>
    </r>
    <r>
      <rPr>
        <sz val="14"/>
        <rFont val="Times New Roman"/>
        <family val="1"/>
        <charset val="204"/>
      </rPr>
      <t>______________________________</t>
    </r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</si>
  <si>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</si>
  <si>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</si>
  <si>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</si>
  <si>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</si>
  <si>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</si>
  <si>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Сплата дивідендів на державну частку/відрахувань частини чистого прибутку</t>
  </si>
  <si>
    <t>Перерахування коштів державі як власнику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</si>
  <si>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</si>
  <si>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</si>
  <si>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</si>
  <si>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</si>
  <si>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</si>
  <si>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</si>
  <si>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</si>
  <si>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</si>
  <si>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Питома вага в загальному обсязі реалізації, %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</si>
  <si>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</si>
  <si>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</si>
  <si>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</si>
  <si>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</si>
  <si>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</si>
  <si>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</si>
  <si>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</si>
  <si>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</si>
  <si>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 xml:space="preserve">      Загальна інформація про підприємство (резюме)</t>
  </si>
  <si>
    <t>Мета використання</t>
  </si>
  <si>
    <t>План з повернення коштів</t>
  </si>
  <si>
    <t>План із залучення коштів</t>
  </si>
  <si>
    <t xml:space="preserve">Доходи </t>
  </si>
  <si>
    <t>Податок на додану вартість</t>
  </si>
  <si>
    <t>Інші вирахування з доходу (розшифрувати)</t>
  </si>
  <si>
    <t>від комерційної діяльності</t>
  </si>
  <si>
    <t>від державного бюджету</t>
  </si>
  <si>
    <t>від місцевого бюджету</t>
  </si>
  <si>
    <t xml:space="preserve">      3. Діючі фінансові зобов'язання підприємства</t>
  </si>
  <si>
    <t xml:space="preserve">      4. Інформація щодо отримання та повернення залучених коштів</t>
  </si>
  <si>
    <t xml:space="preserve">      7. Джерела капітальних інвестицій</t>
  </si>
  <si>
    <t>Сума, валюта за договорами</t>
  </si>
  <si>
    <t>у тому числі за їх видами</t>
  </si>
  <si>
    <t xml:space="preserve">I </t>
  </si>
  <si>
    <t>II</t>
  </si>
  <si>
    <t>III</t>
  </si>
  <si>
    <t>IV</t>
  </si>
  <si>
    <t>I</t>
  </si>
  <si>
    <t>Інші операційні доходи</t>
  </si>
  <si>
    <t>Інші доходи</t>
  </si>
  <si>
    <t>Інші витрати</t>
  </si>
  <si>
    <t>Фінансовий результат від операційної діяльності: прибуток/збиток</t>
  </si>
  <si>
    <t>Фінансовий результат до оподаткування: прибуток/збиток</t>
  </si>
  <si>
    <t>Фінансовий результат до оподаткування:  прибуток/збиток</t>
  </si>
  <si>
    <t>Чистий  фінансовий результат: прибуток/збиток</t>
  </si>
  <si>
    <t>Відрахування частини чистого прибутку до міського бюджету</t>
  </si>
  <si>
    <t xml:space="preserve">      2. Інформація про бізнес підприємства (код рядка 1040 "чистий дохід від реалізації продукції ( товарів, робіт, послуг)" фінансового плану)</t>
  </si>
  <si>
    <t xml:space="preserve">       5. Витрати, пов'язані з використанням власних службових автомобілів (у складі адміністративних витрат, рядок 1081)</t>
  </si>
  <si>
    <t xml:space="preserve">       6. Витрати на оренду службових автомобілів (у складі адміністративних витрат, рядок 1082)</t>
  </si>
  <si>
    <t>Доходи від фінансової діяльності</t>
  </si>
  <si>
    <t>Витрати від фінансової діяльності</t>
  </si>
  <si>
    <t xml:space="preserve">      8.  Капітальне будівництво (рядок 4010 таблиці 4)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</si>
  <si>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</si>
  <si>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</si>
  <si>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освоєння капітальних вкладень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</si>
  <si>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</si>
  <si>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</si>
  <si>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</si>
  <si>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</si>
  <si>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</si>
  <si>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фінансування капітальних інвестицій (оплата грошовими коштами), усього</t>
  </si>
  <si>
    <t>власні кошти</t>
  </si>
  <si>
    <t>кредитні кошти</t>
  </si>
  <si>
    <t>у тому числі</t>
  </si>
  <si>
    <t xml:space="preserve">Зокрема за кварталами </t>
  </si>
  <si>
    <r>
      <t xml:space="preserve">Керівник </t>
    </r>
    <r>
      <rPr>
        <sz val="12"/>
        <rFont val="Times New Roman"/>
        <family val="1"/>
        <charset val="204"/>
      </rPr>
      <t>_______________________________</t>
    </r>
  </si>
  <si>
    <t xml:space="preserve">                                                            1. Дані про підприємство, персонал та фонд заробітної плати</t>
  </si>
  <si>
    <t>Нарахування на заробітну плату</t>
  </si>
  <si>
    <t>витрати на газопостачання</t>
  </si>
  <si>
    <t>охорона обєкту</t>
  </si>
  <si>
    <t>витрати на водопостачання</t>
  </si>
  <si>
    <t xml:space="preserve">підписні видання </t>
  </si>
  <si>
    <t>послуги банку</t>
  </si>
  <si>
    <t>матеріальні вирати</t>
  </si>
  <si>
    <t>Інші операційні витрати (розшифрувати)</t>
  </si>
  <si>
    <t>оренда приміщення</t>
  </si>
  <si>
    <t>інші витрати на збут (розшифрувати)в т.ч.</t>
  </si>
  <si>
    <t>інші адміністративні витрати (розшифрувати) в т.ч.</t>
  </si>
  <si>
    <t xml:space="preserve">інші операційні витрати (розшифрувати) в т.ч. </t>
  </si>
  <si>
    <t>інші витрати (розшифрувати) в т.ч.</t>
  </si>
  <si>
    <t>Вивіз ТПВ</t>
  </si>
  <si>
    <t xml:space="preserve">витрати на зв'язок </t>
  </si>
  <si>
    <t>найманий транспорт</t>
  </si>
  <si>
    <t>Водопостачання</t>
  </si>
  <si>
    <t>Газопостачання</t>
  </si>
  <si>
    <t xml:space="preserve">зв'язок </t>
  </si>
  <si>
    <t>обслуговування РРО</t>
  </si>
  <si>
    <t>дивіденди</t>
  </si>
  <si>
    <t>Відшкодування  податку за землю</t>
  </si>
  <si>
    <t>Ритуальні послуги</t>
  </si>
  <si>
    <t>службова</t>
  </si>
  <si>
    <t>Витрати, всього</t>
  </si>
  <si>
    <t>Мета викори-стання</t>
  </si>
  <si>
    <t xml:space="preserve">Інформація </t>
  </si>
  <si>
    <t>Валовий прибуток /збиток</t>
  </si>
  <si>
    <t>Надходження від:</t>
  </si>
  <si>
    <t>РеалізаціЇ продукції  (товарів,робіт,послуг)</t>
  </si>
  <si>
    <t>Витрачання на оплату:</t>
  </si>
  <si>
    <t>Працівникам</t>
  </si>
  <si>
    <t>Зобовязань з податків і зборів</t>
  </si>
  <si>
    <t>Грошові кошти від операційної діяльності,у т.ч.</t>
  </si>
  <si>
    <t>Витрачання на оплату зобовязань з ПДВ:</t>
  </si>
  <si>
    <t>3070/1</t>
  </si>
  <si>
    <t>3070/2</t>
  </si>
  <si>
    <t>Інші витрачання</t>
  </si>
  <si>
    <t>3070/1/1.</t>
  </si>
  <si>
    <t>3070/2/1.</t>
  </si>
  <si>
    <t>3070/2/2.</t>
  </si>
  <si>
    <t>3070/2/3.</t>
  </si>
  <si>
    <t>3070/2/4.</t>
  </si>
  <si>
    <t>3070/2/5.</t>
  </si>
  <si>
    <t>3070/2/6.</t>
  </si>
  <si>
    <t>капітальне будівництво</t>
  </si>
  <si>
    <t>модернізація, модифікація (добудова, дообладнання, реконструкція) основних засобів,в т.ч.</t>
  </si>
  <si>
    <t>4020/1</t>
  </si>
  <si>
    <t>А. Г. Бейн</t>
  </si>
  <si>
    <t>А.Г. Бейн</t>
  </si>
  <si>
    <t>КП"Комбінат комунальних підприємств" Черкаської міської ради</t>
  </si>
  <si>
    <t>План рік</t>
  </si>
  <si>
    <t>у т.ч. за кварталами</t>
  </si>
  <si>
    <t>Плано-вий рік</t>
  </si>
  <si>
    <t>1992, 2006</t>
  </si>
  <si>
    <t>Ваз -2121, Шевролет</t>
  </si>
  <si>
    <t>1058/1</t>
  </si>
  <si>
    <t>1058/2</t>
  </si>
  <si>
    <t>1058/3</t>
  </si>
  <si>
    <t>1058/4</t>
  </si>
  <si>
    <t>1058/5</t>
  </si>
  <si>
    <t>1058/6</t>
  </si>
  <si>
    <t>1116/1</t>
  </si>
  <si>
    <t>1116/2</t>
  </si>
  <si>
    <t>1116/3</t>
  </si>
  <si>
    <t>1116/4</t>
  </si>
  <si>
    <t>1116/5</t>
  </si>
  <si>
    <t>1116/6</t>
  </si>
  <si>
    <t>1116/7</t>
  </si>
  <si>
    <t>1116/8</t>
  </si>
  <si>
    <t>1116/9</t>
  </si>
  <si>
    <t>1113/1</t>
  </si>
  <si>
    <t>2147/1</t>
  </si>
  <si>
    <t>2147/2</t>
  </si>
  <si>
    <t>2147/3</t>
  </si>
  <si>
    <t>Екологічний збір</t>
  </si>
  <si>
    <t>Збір за спецводокористування</t>
  </si>
  <si>
    <t>2147/4</t>
  </si>
  <si>
    <t>2147/5</t>
  </si>
  <si>
    <t>Військовий збір</t>
  </si>
  <si>
    <t>-</t>
  </si>
  <si>
    <t xml:space="preserve"> </t>
  </si>
  <si>
    <t>інші джерела (зазначити дже-рело)</t>
  </si>
  <si>
    <t>придбання (виготовлення) основних засобів ,  в т.ч.</t>
  </si>
  <si>
    <t xml:space="preserve">                Керівник </t>
  </si>
  <si>
    <t>4050/2</t>
  </si>
  <si>
    <t xml:space="preserve">   </t>
  </si>
  <si>
    <t>4020/2</t>
  </si>
  <si>
    <t>2017рік</t>
  </si>
  <si>
    <t>обслуговування компютера,підписні видання</t>
  </si>
  <si>
    <t>витрати на поліпшення основних фондів (поточний ремонт)</t>
  </si>
  <si>
    <t>Доходи (виручка) від реалізації продукції (товарів, робіт,послуг)</t>
  </si>
  <si>
    <t>Прогноз на поточний рік</t>
  </si>
  <si>
    <t>Плановий  рік (усього)</t>
  </si>
  <si>
    <t>Плановий рік (усього)</t>
  </si>
  <si>
    <t>Плановий рік до прогнозу на поточний рік, %</t>
  </si>
  <si>
    <t>Плановий рік до факту минулого року, %</t>
  </si>
  <si>
    <t>за плановий рік</t>
  </si>
  <si>
    <t>4020/3</t>
  </si>
  <si>
    <t>4020/4</t>
  </si>
  <si>
    <t>План    рік     2019 (усього)</t>
  </si>
  <si>
    <t>Заборгованість за кредитами на початок____року</t>
  </si>
  <si>
    <t>Факт 2018  року</t>
  </si>
  <si>
    <t>ремонт</t>
  </si>
  <si>
    <t>податок на воду</t>
  </si>
  <si>
    <t>План    рік     2020 (усього)</t>
  </si>
  <si>
    <t>Керівник підприємства</t>
  </si>
  <si>
    <t xml:space="preserve">збір за спецводокористування </t>
  </si>
  <si>
    <t>екологічний податок</t>
  </si>
  <si>
    <t>опалення дровами</t>
  </si>
  <si>
    <t>податок на нерухомість</t>
  </si>
  <si>
    <t>земельний податок</t>
  </si>
  <si>
    <t>Фактичний      показник за 2018рік</t>
  </si>
  <si>
    <t>Плановий показник поточного 2019року</t>
  </si>
  <si>
    <t>Плановий 2020рік</t>
  </si>
  <si>
    <r>
      <t xml:space="preserve"> до фінансового плану на </t>
    </r>
    <r>
      <rPr>
        <b/>
        <u/>
        <sz val="14"/>
        <rFont val="Times New Roman"/>
        <family val="1"/>
        <charset val="204"/>
      </rPr>
      <t>2020</t>
    </r>
    <r>
      <rPr>
        <b/>
        <sz val="14"/>
        <rFont val="Times New Roman"/>
        <family val="1"/>
        <charset val="204"/>
      </rPr>
      <t>рік</t>
    </r>
  </si>
  <si>
    <t>Екскаватор - навантажувач "Катерпіллар"</t>
  </si>
  <si>
    <t>4020/5</t>
  </si>
  <si>
    <t>4020/6</t>
  </si>
  <si>
    <t>Мікроавтобус для транспортування до моргу померлих на судмедекспертизу</t>
  </si>
  <si>
    <t>4020/7</t>
  </si>
  <si>
    <t>План на 2020р.</t>
  </si>
  <si>
    <t>Придбання   автомобіля (автомобіля вантажопасажирського) марки FORD TRANSIT Y363 Kombi          для транспортування до моргу померлих на судмедекспертизу</t>
  </si>
  <si>
    <t>4050/1</t>
  </si>
  <si>
    <t>Придбання автомобіля сміттевоза ЛІВ Міні Б</t>
  </si>
  <si>
    <t xml:space="preserve">Придбання   автобуса  марки "АТАМАН" </t>
  </si>
  <si>
    <t xml:space="preserve">Капітальний  ремонт побутового приміщення на кладовищі </t>
  </si>
  <si>
    <t>Податок на нерухомість</t>
  </si>
  <si>
    <t>2147/6</t>
  </si>
  <si>
    <t>Професіонали: економісти,інженери,майстри,механік</t>
  </si>
  <si>
    <t>Фахівці: бухгалтера</t>
  </si>
  <si>
    <t>Технічні працівники:інспектор (кадри),касир</t>
  </si>
  <si>
    <t>Факт минулого 2018 року</t>
  </si>
  <si>
    <t>Фінансовий план поточного 2019 року</t>
  </si>
  <si>
    <t>________________</t>
  </si>
  <si>
    <r>
      <t xml:space="preserve">Керівник </t>
    </r>
    <r>
      <rPr>
        <sz val="14"/>
        <rFont val="Times New Roman"/>
        <family val="1"/>
        <charset val="204"/>
      </rPr>
      <t xml:space="preserve"> _________</t>
    </r>
  </si>
  <si>
    <t xml:space="preserve">Автобус  для супроводу </t>
  </si>
  <si>
    <t xml:space="preserve">Придбання 20 контейнерів для збирання твердих побутових відходів 1,1м3 на кладовище міста </t>
  </si>
  <si>
    <t xml:space="preserve">Придбання50 контейнерів для збирання твердих побутових відходів 1,1м3 на кладовище міста </t>
  </si>
  <si>
    <t>Заробітна плата праці</t>
  </si>
  <si>
    <t xml:space="preserve">                      (посада)</t>
  </si>
  <si>
    <t xml:space="preserve">      (підпис)</t>
  </si>
  <si>
    <t>Капітальний  ремонт туалетів на кладовищах міста</t>
  </si>
  <si>
    <t>Придбання   автомобіля МАЗ 437 №2 Супер Міні ( для вивезення сміття з кладовищ міста)</t>
  </si>
  <si>
    <t>4020/8</t>
  </si>
  <si>
    <t>4020/9</t>
  </si>
  <si>
    <t>Фактичний показник поточного року за І півріччя</t>
  </si>
  <si>
    <t>Товарів (робіт,послуг)</t>
  </si>
  <si>
    <t xml:space="preserve">    (посада)</t>
  </si>
  <si>
    <t xml:space="preserve">          (посада)</t>
  </si>
  <si>
    <t xml:space="preserve">ФІНАНСОВИЙ  ПЛАН  </t>
  </si>
  <si>
    <t>комунального підприємства "Комбінат комунальних підприємств" Черкаської міської ради</t>
  </si>
  <si>
    <r>
      <t xml:space="preserve">на </t>
    </r>
    <r>
      <rPr>
        <b/>
        <u/>
        <sz val="14"/>
        <rFont val="Times New Roman"/>
        <family val="1"/>
        <charset val="204"/>
      </rPr>
      <t>2020</t>
    </r>
    <r>
      <rPr>
        <b/>
        <sz val="14"/>
        <rFont val="Times New Roman"/>
        <family val="1"/>
        <charset val="204"/>
      </rPr>
      <t xml:space="preserve"> рік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</si>
</sst>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#,##0&quot;р.&quot;;[Red]\-#,##0&quot;р.&quot;"/>
    <numFmt numFmtId="165" formatCode="#,##0.00&quot;р.&quot;;\-#,##0.00&quot;р.&quot;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_-* #,##0.00_₴_-;\-* #,##0.00_₴_-;_-* &quot;-&quot;??_₴_-;_-@_-"/>
    <numFmt numFmtId="170" formatCode="0.0"/>
    <numFmt numFmtId="171" formatCode="#,##0.0"/>
    <numFmt numFmtId="172" formatCode="###\ ##0.000"/>
    <numFmt numFmtId="173" formatCode="_(&quot;$&quot;* #,##0.00_);_(&quot;$&quot;* \(#,##0.00\);_(&quot;$&quot;* &quot;-&quot;??_);_(@_)"/>
    <numFmt numFmtId="174" formatCode="_(* #,##0_);_(* \(#,##0\);_(* &quot;-&quot;_);_(@_)"/>
    <numFmt numFmtId="175" formatCode="_(* #,##0.00_);_(* \(#,##0.00\);_(* &quot;-&quot;??_);_(@_)"/>
    <numFmt numFmtId="176" formatCode="#,##0.0_ ;[Red]\-#,##0.0\ "/>
    <numFmt numFmtId="177" formatCode="0.0;\(0.0\);\ ;\-"/>
    <numFmt numFmtId="178" formatCode="0.000"/>
    <numFmt numFmtId="179" formatCode="#,##0.0000"/>
  </numFmts>
  <fonts count="9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4"/>
      <color indexed="9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i/>
      <sz val="10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color rgb="FFFF0000"/>
      <name val="Arial Cyr"/>
      <charset val="204"/>
    </font>
    <font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4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/>
      <name val="Arial Cyr"/>
      <charset val="204"/>
    </font>
    <font>
      <sz val="14"/>
      <color theme="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56">
    <xf numFmtId="0" fontId="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1" fillId="2" borderId="0" applyNumberFormat="0" applyBorder="0" applyAlignment="0" applyProtection="0"/>
    <xf numFmtId="0" fontId="1" fillId="2" borderId="0" applyNumberFormat="0" applyBorder="0" applyAlignment="0" applyProtection="0"/>
    <xf numFmtId="0" fontId="31" fillId="3" borderId="0" applyNumberFormat="0" applyBorder="0" applyAlignment="0" applyProtection="0"/>
    <xf numFmtId="0" fontId="1" fillId="3" borderId="0" applyNumberFormat="0" applyBorder="0" applyAlignment="0" applyProtection="0"/>
    <xf numFmtId="0" fontId="31" fillId="4" borderId="0" applyNumberFormat="0" applyBorder="0" applyAlignment="0" applyProtection="0"/>
    <xf numFmtId="0" fontId="1" fillId="4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6" borderId="0" applyNumberFormat="0" applyBorder="0" applyAlignment="0" applyProtection="0"/>
    <xf numFmtId="0" fontId="1" fillId="6" borderId="0" applyNumberFormat="0" applyBorder="0" applyAlignment="0" applyProtection="0"/>
    <xf numFmtId="0" fontId="3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9" borderId="0" applyNumberFormat="0" applyBorder="0" applyAlignment="0" applyProtection="0"/>
    <xf numFmtId="0" fontId="1" fillId="9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2" fillId="12" borderId="0" applyNumberFormat="0" applyBorder="0" applyAlignment="0" applyProtection="0"/>
    <xf numFmtId="0" fontId="14" fillId="12" borderId="0" applyNumberFormat="0" applyBorder="0" applyAlignment="0" applyProtection="0"/>
    <xf numFmtId="0" fontId="32" fillId="9" borderId="0" applyNumberFormat="0" applyBorder="0" applyAlignment="0" applyProtection="0"/>
    <xf numFmtId="0" fontId="14" fillId="9" borderId="0" applyNumberFormat="0" applyBorder="0" applyAlignment="0" applyProtection="0"/>
    <xf numFmtId="0" fontId="32" fillId="10" borderId="0" applyNumberFormat="0" applyBorder="0" applyAlignment="0" applyProtection="0"/>
    <xf numFmtId="0" fontId="14" fillId="10" borderId="0" applyNumberFormat="0" applyBorder="0" applyAlignment="0" applyProtection="0"/>
    <xf numFmtId="0" fontId="32" fillId="13" borderId="0" applyNumberFormat="0" applyBorder="0" applyAlignment="0" applyProtection="0"/>
    <xf numFmtId="0" fontId="14" fillId="13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5" fillId="3" borderId="0" applyNumberFormat="0" applyBorder="0" applyAlignment="0" applyProtection="0"/>
    <xf numFmtId="0" fontId="17" fillId="20" borderId="1" applyNumberFormat="0" applyAlignment="0" applyProtection="0"/>
    <xf numFmtId="0" fontId="22" fillId="21" borderId="2" applyNumberFormat="0" applyAlignment="0" applyProtection="0"/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168" fontId="11" fillId="0" borderId="0" applyFont="0" applyFill="0" applyBorder="0" applyAlignment="0" applyProtection="0"/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0" fontId="26" fillId="0" borderId="0" applyNumberFormat="0" applyFill="0" applyBorder="0" applyAlignment="0" applyProtection="0"/>
    <xf numFmtId="172" fontId="34" fillId="0" borderId="0" applyAlignment="0">
      <alignment wrapText="1"/>
    </xf>
    <xf numFmtId="0" fontId="29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36" fillId="22" borderId="7">
      <alignment horizontal="left" vertical="center"/>
      <protection locked="0"/>
    </xf>
    <xf numFmtId="49" fontId="36" fillId="22" borderId="7">
      <alignment horizontal="left" vertical="center"/>
    </xf>
    <xf numFmtId="4" fontId="36" fillId="22" borderId="7">
      <alignment horizontal="right" vertical="center"/>
      <protection locked="0"/>
    </xf>
    <xf numFmtId="4" fontId="36" fillId="22" borderId="7">
      <alignment horizontal="right" vertical="center"/>
    </xf>
    <xf numFmtId="4" fontId="37" fillId="22" borderId="7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9" fontId="33" fillId="22" borderId="3">
      <alignment horizontal="left" vertical="center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" fontId="33" fillId="22" borderId="3">
      <alignment horizontal="right" vertical="center"/>
      <protection locked="0"/>
    </xf>
    <xf numFmtId="4" fontId="33" fillId="22" borderId="3">
      <alignment horizontal="right" vertical="center"/>
      <protection locked="0"/>
    </xf>
    <xf numFmtId="4" fontId="33" fillId="22" borderId="3">
      <alignment horizontal="right" vertical="center"/>
    </xf>
    <xf numFmtId="4" fontId="33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" fontId="44" fillId="0" borderId="3">
      <alignment horizontal="right" vertical="center"/>
      <protection locked="0"/>
    </xf>
    <xf numFmtId="4" fontId="44" fillId="0" borderId="3">
      <alignment horizontal="right" vertical="center"/>
    </xf>
    <xf numFmtId="4" fontId="45" fillId="0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9" fontId="44" fillId="0" borderId="3">
      <alignment horizontal="left" vertical="center"/>
      <protection locked="0"/>
    </xf>
    <xf numFmtId="49" fontId="45" fillId="0" borderId="3">
      <alignment horizontal="left" vertical="center"/>
      <protection locked="0"/>
    </xf>
    <xf numFmtId="4" fontId="44" fillId="0" borderId="3">
      <alignment horizontal="right" vertical="center"/>
      <protection locked="0"/>
    </xf>
    <xf numFmtId="0" fontId="27" fillId="0" borderId="8" applyNumberFormat="0" applyFill="0" applyAlignment="0" applyProtection="0"/>
    <xf numFmtId="0" fontId="24" fillId="23" borderId="0" applyNumberFormat="0" applyBorder="0" applyAlignment="0" applyProtection="0"/>
    <xf numFmtId="0" fontId="11" fillId="0" borderId="0"/>
    <xf numFmtId="0" fontId="11" fillId="0" borderId="0"/>
    <xf numFmtId="0" fontId="11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8" fillId="26" borderId="3">
      <alignment horizontal="right" vertical="center"/>
      <protection locked="0"/>
    </xf>
    <xf numFmtId="4" fontId="48" fillId="27" borderId="3">
      <alignment horizontal="right" vertical="center"/>
      <protection locked="0"/>
    </xf>
    <xf numFmtId="4" fontId="48" fillId="28" borderId="3">
      <alignment horizontal="right" vertical="center"/>
      <protection locked="0"/>
    </xf>
    <xf numFmtId="0" fontId="16" fillId="20" borderId="10" applyNumberFormat="0" applyAlignment="0" applyProtection="0"/>
    <xf numFmtId="49" fontId="33" fillId="0" borderId="3">
      <alignment horizontal="left" vertical="center" wrapText="1"/>
      <protection locked="0"/>
    </xf>
    <xf numFmtId="49" fontId="33" fillId="0" borderId="3">
      <alignment horizontal="left" vertical="center" wrapText="1"/>
      <protection locked="0"/>
    </xf>
    <xf numFmtId="0" fontId="23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14" fillId="16" borderId="0" applyNumberFormat="0" applyBorder="0" applyAlignment="0" applyProtection="0"/>
    <xf numFmtId="0" fontId="32" fillId="17" borderId="0" applyNumberFormat="0" applyBorder="0" applyAlignment="0" applyProtection="0"/>
    <xf numFmtId="0" fontId="14" fillId="17" borderId="0" applyNumberFormat="0" applyBorder="0" applyAlignment="0" applyProtection="0"/>
    <xf numFmtId="0" fontId="32" fillId="18" borderId="0" applyNumberFormat="0" applyBorder="0" applyAlignment="0" applyProtection="0"/>
    <xf numFmtId="0" fontId="14" fillId="18" borderId="0" applyNumberFormat="0" applyBorder="0" applyAlignment="0" applyProtection="0"/>
    <xf numFmtId="0" fontId="32" fillId="13" borderId="0" applyNumberFormat="0" applyBorder="0" applyAlignment="0" applyProtection="0"/>
    <xf numFmtId="0" fontId="14" fillId="13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9" borderId="0" applyNumberFormat="0" applyBorder="0" applyAlignment="0" applyProtection="0"/>
    <xf numFmtId="0" fontId="14" fillId="19" borderId="0" applyNumberFormat="0" applyBorder="0" applyAlignment="0" applyProtection="0"/>
    <xf numFmtId="0" fontId="49" fillId="7" borderId="1" applyNumberFormat="0" applyAlignment="0" applyProtection="0"/>
    <xf numFmtId="0" fontId="15" fillId="7" borderId="1" applyNumberFormat="0" applyAlignment="0" applyProtection="0"/>
    <xf numFmtId="0" fontId="50" fillId="20" borderId="10" applyNumberFormat="0" applyAlignment="0" applyProtection="0"/>
    <xf numFmtId="0" fontId="16" fillId="20" borderId="10" applyNumberFormat="0" applyAlignment="0" applyProtection="0"/>
    <xf numFmtId="0" fontId="51" fillId="20" borderId="1" applyNumberFormat="0" applyAlignment="0" applyProtection="0"/>
    <xf numFmtId="0" fontId="17" fillId="20" borderId="1" applyNumberFormat="0" applyAlignment="0" applyProtection="0"/>
    <xf numFmtId="166" fontId="2" fillId="0" borderId="0" applyFont="0" applyFill="0" applyBorder="0" applyAlignment="0" applyProtection="0"/>
    <xf numFmtId="173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2" fillId="0" borderId="4" applyNumberFormat="0" applyFill="0" applyAlignment="0" applyProtection="0"/>
    <xf numFmtId="0" fontId="18" fillId="0" borderId="4" applyNumberFormat="0" applyFill="0" applyAlignment="0" applyProtection="0"/>
    <xf numFmtId="0" fontId="53" fillId="0" borderId="5" applyNumberFormat="0" applyFill="0" applyAlignment="0" applyProtection="0"/>
    <xf numFmtId="0" fontId="19" fillId="0" borderId="5" applyNumberFormat="0" applyFill="0" applyAlignment="0" applyProtection="0"/>
    <xf numFmtId="0" fontId="54" fillId="0" borderId="6" applyNumberFormat="0" applyFill="0" applyAlignment="0" applyProtection="0"/>
    <xf numFmtId="0" fontId="20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5" fillId="0" borderId="11" applyNumberFormat="0" applyFill="0" applyAlignment="0" applyProtection="0"/>
    <xf numFmtId="0" fontId="21" fillId="0" borderId="11" applyNumberFormat="0" applyFill="0" applyAlignment="0" applyProtection="0"/>
    <xf numFmtId="0" fontId="56" fillId="21" borderId="2" applyNumberFormat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7" fillId="23" borderId="0" applyNumberFormat="0" applyBorder="0" applyAlignment="0" applyProtection="0"/>
    <xf numFmtId="0" fontId="24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76" fillId="0" borderId="0"/>
    <xf numFmtId="0" fontId="11" fillId="0" borderId="0"/>
    <xf numFmtId="0" fontId="2" fillId="0" borderId="0"/>
    <xf numFmtId="0" fontId="11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58" fillId="3" borderId="0" applyNumberFormat="0" applyBorder="0" applyAlignment="0" applyProtection="0"/>
    <xf numFmtId="0" fontId="25" fillId="3" borderId="0" applyNumberFormat="0" applyBorder="0" applyAlignment="0" applyProtection="0"/>
    <xf numFmtId="0" fontId="5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5" borderId="9" applyNumberFormat="0" applyFont="0" applyAlignment="0" applyProtection="0"/>
    <xf numFmtId="0" fontId="11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8" applyNumberFormat="0" applyFill="0" applyAlignment="0" applyProtection="0"/>
    <xf numFmtId="0" fontId="27" fillId="0" borderId="8" applyNumberFormat="0" applyFill="0" applyAlignment="0" applyProtection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64" fillId="0" borderId="0" applyFont="0" applyFill="0" applyBorder="0" applyAlignment="0" applyProtection="0"/>
    <xf numFmtId="175" fontId="6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5" fillId="4" borderId="0" applyNumberFormat="0" applyBorder="0" applyAlignment="0" applyProtection="0"/>
    <xf numFmtId="0" fontId="29" fillId="4" borderId="0" applyNumberFormat="0" applyBorder="0" applyAlignment="0" applyProtection="0"/>
    <xf numFmtId="177" fontId="66" fillId="22" borderId="12" applyFill="0" applyBorder="0">
      <alignment horizontal="center" vertical="center" wrapText="1"/>
      <protection locked="0"/>
    </xf>
    <xf numFmtId="172" fontId="67" fillId="0" borderId="0">
      <alignment wrapText="1"/>
    </xf>
    <xf numFmtId="172" fontId="34" fillId="0" borderId="0">
      <alignment wrapText="1"/>
    </xf>
  </cellStyleXfs>
  <cellXfs count="522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1" fontId="6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71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71" fontId="5" fillId="0" borderId="0" xfId="0" applyNumberFormat="1" applyFont="1" applyFill="1" applyAlignment="1">
      <alignment vertical="center"/>
    </xf>
    <xf numFmtId="171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248" applyFont="1" applyFill="1" applyBorder="1" applyAlignment="1">
      <alignment horizontal="center" vertical="center" wrapText="1"/>
    </xf>
    <xf numFmtId="0" fontId="5" fillId="0" borderId="0" xfId="248" applyFont="1" applyFill="1" applyBorder="1" applyAlignment="1">
      <alignment vertical="center"/>
    </xf>
    <xf numFmtId="0" fontId="5" fillId="0" borderId="3" xfId="248" applyFont="1" applyFill="1" applyBorder="1" applyAlignment="1">
      <alignment horizontal="left" vertical="center" wrapText="1"/>
    </xf>
    <xf numFmtId="0" fontId="4" fillId="0" borderId="0" xfId="248" applyFont="1" applyFill="1" applyBorder="1" applyAlignment="1">
      <alignment vertical="center"/>
    </xf>
    <xf numFmtId="0" fontId="5" fillId="0" borderId="0" xfId="248" applyFont="1" applyFill="1" applyBorder="1" applyAlignment="1">
      <alignment horizontal="center" vertical="center"/>
    </xf>
    <xf numFmtId="0" fontId="4" fillId="0" borderId="0" xfId="248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8" applyFont="1" applyFill="1" applyBorder="1" applyAlignment="1">
      <alignment horizontal="center" vertical="center"/>
    </xf>
    <xf numFmtId="0" fontId="5" fillId="0" borderId="3" xfId="24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8" applyFont="1" applyFill="1" applyBorder="1" applyAlignment="1">
      <alignment horizontal="left" vertical="center" wrapText="1"/>
    </xf>
    <xf numFmtId="0" fontId="13" fillId="0" borderId="0" xfId="248" applyFont="1" applyFill="1"/>
    <xf numFmtId="0" fontId="5" fillId="0" borderId="0" xfId="248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 shrinkToFit="1"/>
    </xf>
    <xf numFmtId="171" fontId="5" fillId="0" borderId="0" xfId="248" applyNumberFormat="1" applyFont="1" applyFill="1" applyBorder="1" applyAlignment="1">
      <alignment horizontal="center" vertical="center" wrapText="1"/>
    </xf>
    <xf numFmtId="171" fontId="5" fillId="0" borderId="0" xfId="248" applyNumberFormat="1" applyFont="1" applyFill="1" applyBorder="1" applyAlignment="1">
      <alignment horizontal="right" vertical="center" wrapText="1"/>
    </xf>
    <xf numFmtId="0" fontId="5" fillId="0" borderId="0" xfId="248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4" fillId="0" borderId="3" xfId="248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70" fontId="68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 wrapText="1"/>
    </xf>
    <xf numFmtId="171" fontId="5" fillId="0" borderId="1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3" fontId="5" fillId="0" borderId="3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4" fillId="29" borderId="3" xfId="0" applyFont="1" applyFill="1" applyBorder="1" applyAlignment="1">
      <alignment horizontal="left" vertical="center" wrapText="1"/>
    </xf>
    <xf numFmtId="0" fontId="4" fillId="29" borderId="0" xfId="0" applyFont="1" applyFill="1" applyBorder="1" applyAlignment="1">
      <alignment vertical="center"/>
    </xf>
    <xf numFmtId="0" fontId="4" fillId="29" borderId="3" xfId="248" applyFont="1" applyFill="1" applyBorder="1" applyAlignment="1">
      <alignment horizontal="left" vertical="center" wrapText="1"/>
    </xf>
    <xf numFmtId="0" fontId="4" fillId="29" borderId="3" xfId="248" applyFont="1" applyFill="1" applyBorder="1" applyAlignment="1">
      <alignment horizontal="center" vertical="center" wrapText="1"/>
    </xf>
    <xf numFmtId="0" fontId="4" fillId="29" borderId="0" xfId="248" applyFont="1" applyFill="1" applyBorder="1" applyAlignment="1">
      <alignment vertical="center"/>
    </xf>
    <xf numFmtId="0" fontId="4" fillId="29" borderId="0" xfId="0" applyFont="1" applyFill="1" applyAlignment="1">
      <alignment vertical="center"/>
    </xf>
    <xf numFmtId="0" fontId="4" fillId="29" borderId="3" xfId="0" quotePrefix="1" applyNumberFormat="1" applyFont="1" applyFill="1" applyBorder="1" applyAlignment="1">
      <alignment horizontal="center" vertical="center" wrapText="1"/>
    </xf>
    <xf numFmtId="171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 shrinkToFit="1"/>
    </xf>
    <xf numFmtId="171" fontId="4" fillId="29" borderId="3" xfId="0" quotePrefix="1" applyNumberFormat="1" applyFont="1" applyFill="1" applyBorder="1" applyAlignment="1">
      <alignment horizontal="center" vertical="center" wrapText="1"/>
    </xf>
    <xf numFmtId="171" fontId="4" fillId="0" borderId="3" xfId="248" applyNumberFormat="1" applyFont="1" applyFill="1" applyBorder="1" applyAlignment="1">
      <alignment horizontal="center" vertical="center" wrapText="1"/>
    </xf>
    <xf numFmtId="171" fontId="4" fillId="29" borderId="3" xfId="248" applyNumberFormat="1" applyFont="1" applyFill="1" applyBorder="1" applyAlignment="1">
      <alignment horizontal="center" vertical="center" wrapText="1"/>
    </xf>
    <xf numFmtId="171" fontId="5" fillId="0" borderId="3" xfId="0" quotePrefix="1" applyNumberFormat="1" applyFont="1" applyFill="1" applyBorder="1" applyAlignment="1">
      <alignment horizontal="center" vertical="center" wrapText="1"/>
    </xf>
    <xf numFmtId="171" fontId="5" fillId="0" borderId="3" xfId="248" applyNumberFormat="1" applyFont="1" applyFill="1" applyBorder="1" applyAlignment="1">
      <alignment horizontal="center" vertical="center" wrapText="1"/>
    </xf>
    <xf numFmtId="171" fontId="6" fillId="0" borderId="3" xfId="248" applyNumberFormat="1" applyFont="1" applyFill="1" applyBorder="1" applyAlignment="1">
      <alignment horizontal="center" vertical="center" wrapText="1"/>
    </xf>
    <xf numFmtId="171" fontId="5" fillId="0" borderId="3" xfId="248" quotePrefix="1" applyNumberFormat="1" applyFont="1" applyFill="1" applyBorder="1" applyAlignment="1">
      <alignment horizontal="center" vertical="center" wrapText="1"/>
    </xf>
    <xf numFmtId="171" fontId="9" fillId="0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171" fontId="5" fillId="0" borderId="0" xfId="0" applyNumberFormat="1" applyFont="1" applyFill="1" applyBorder="1" applyAlignment="1">
      <alignment horizontal="center" vertical="center"/>
    </xf>
    <xf numFmtId="170" fontId="5" fillId="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 wrapText="1"/>
    </xf>
    <xf numFmtId="0" fontId="70" fillId="0" borderId="3" xfId="248" applyFont="1" applyFill="1" applyBorder="1" applyAlignment="1">
      <alignment horizontal="left" vertical="center" wrapText="1"/>
    </xf>
    <xf numFmtId="0" fontId="9" fillId="0" borderId="3" xfId="248" applyFont="1" applyFill="1" applyBorder="1" applyAlignment="1">
      <alignment horizontal="left" vertical="center" wrapText="1"/>
    </xf>
    <xf numFmtId="0" fontId="9" fillId="0" borderId="3" xfId="0" quotePrefix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left" vertical="center" wrapText="1"/>
    </xf>
    <xf numFmtId="4" fontId="9" fillId="0" borderId="3" xfId="21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70" fillId="29" borderId="3" xfId="0" applyFont="1" applyFill="1" applyBorder="1" applyAlignment="1">
      <alignment horizontal="left" vertical="center" wrapText="1"/>
    </xf>
    <xf numFmtId="0" fontId="70" fillId="29" borderId="3" xfId="0" applyFont="1" applyFill="1" applyBorder="1" applyAlignment="1">
      <alignment horizontal="center" vertical="center"/>
    </xf>
    <xf numFmtId="171" fontId="70" fillId="29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3" fontId="70" fillId="0" borderId="3" xfId="0" applyNumberFormat="1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171" fontId="70" fillId="0" borderId="3" xfId="0" applyNumberFormat="1" applyFont="1" applyFill="1" applyBorder="1" applyAlignment="1">
      <alignment horizontal="center" vertical="center" wrapText="1"/>
    </xf>
    <xf numFmtId="0" fontId="70" fillId="0" borderId="0" xfId="0" quotePrefix="1" applyFont="1" applyFill="1" applyBorder="1" applyAlignment="1">
      <alignment horizontal="center" vertical="center"/>
    </xf>
    <xf numFmtId="170" fontId="70" fillId="0" borderId="0" xfId="0" applyNumberFormat="1" applyFont="1" applyFill="1" applyBorder="1" applyAlignment="1">
      <alignment horizontal="center" vertical="center" wrapText="1"/>
    </xf>
    <xf numFmtId="170" fontId="70" fillId="0" borderId="0" xfId="0" applyNumberFormat="1" applyFont="1" applyFill="1" applyBorder="1" applyAlignment="1">
      <alignment horizontal="right" vertical="center"/>
    </xf>
    <xf numFmtId="170" fontId="70" fillId="0" borderId="0" xfId="0" applyNumberFormat="1" applyFont="1" applyFill="1" applyBorder="1" applyAlignment="1">
      <alignment horizontal="right" vertical="center" wrapText="1"/>
    </xf>
    <xf numFmtId="0" fontId="9" fillId="0" borderId="0" xfId="0" quotePrefix="1" applyFont="1" applyFill="1" applyBorder="1" applyAlignment="1">
      <alignment horizontal="center" vertical="center"/>
    </xf>
    <xf numFmtId="171" fontId="71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170" fontId="4" fillId="0" borderId="3" xfId="0" applyNumberFormat="1" applyFont="1" applyFill="1" applyBorder="1" applyAlignment="1">
      <alignment horizontal="left" vertical="center" wrapText="1"/>
    </xf>
    <xf numFmtId="4" fontId="9" fillId="0" borderId="3" xfId="0" applyNumberFormat="1" applyFont="1" applyFill="1" applyBorder="1" applyAlignment="1">
      <alignment horizontal="right" vertical="center" wrapText="1"/>
    </xf>
    <xf numFmtId="170" fontId="5" fillId="0" borderId="3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left" vertical="center" wrapText="1"/>
    </xf>
    <xf numFmtId="0" fontId="71" fillId="0" borderId="3" xfId="0" applyFont="1" applyFill="1" applyBorder="1" applyAlignment="1">
      <alignment horizontal="left" vertical="center" wrapText="1"/>
    </xf>
    <xf numFmtId="171" fontId="9" fillId="0" borderId="3" xfId="0" quotePrefix="1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left" vertical="center"/>
    </xf>
    <xf numFmtId="171" fontId="9" fillId="0" borderId="3" xfId="0" applyNumberFormat="1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 wrapText="1"/>
    </xf>
    <xf numFmtId="0" fontId="70" fillId="0" borderId="3" xfId="0" quotePrefix="1" applyFont="1" applyFill="1" applyBorder="1" applyAlignment="1">
      <alignment horizontal="center" vertical="center"/>
    </xf>
    <xf numFmtId="171" fontId="70" fillId="0" borderId="3" xfId="0" quotePrefix="1" applyNumberFormat="1" applyFont="1" applyFill="1" applyBorder="1" applyAlignment="1">
      <alignment horizontal="center"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0" fontId="70" fillId="0" borderId="3" xfId="182" applyFont="1" applyFill="1" applyBorder="1" applyAlignment="1">
      <alignment vertical="center" wrapText="1"/>
      <protection locked="0"/>
    </xf>
    <xf numFmtId="0" fontId="70" fillId="0" borderId="18" xfId="0" applyFont="1" applyFill="1" applyBorder="1" applyAlignment="1">
      <alignment horizontal="center" vertical="center"/>
    </xf>
    <xf numFmtId="0" fontId="70" fillId="0" borderId="3" xfId="0" applyFont="1" applyFill="1" applyBorder="1" applyAlignment="1" applyProtection="1">
      <alignment vertical="center" wrapText="1"/>
      <protection locked="0"/>
    </xf>
    <xf numFmtId="0" fontId="70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49" fontId="70" fillId="0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71" fontId="4" fillId="29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71" fontId="4" fillId="0" borderId="3" xfId="0" quotePrefix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70" fontId="5" fillId="0" borderId="18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70" fontId="5" fillId="0" borderId="0" xfId="0" applyNumberFormat="1" applyFont="1" applyFill="1" applyBorder="1" applyAlignment="1">
      <alignment horizontal="center" vertical="center" wrapText="1"/>
    </xf>
    <xf numFmtId="170" fontId="5" fillId="0" borderId="23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vertical="center"/>
    </xf>
    <xf numFmtId="0" fontId="73" fillId="0" borderId="0" xfId="0" applyFont="1" applyFill="1" applyAlignment="1">
      <alignment horizontal="left" vertical="center"/>
    </xf>
    <xf numFmtId="3" fontId="5" fillId="0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left" vertical="center" wrapText="1"/>
    </xf>
    <xf numFmtId="170" fontId="9" fillId="0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 shrinkToFit="1"/>
    </xf>
    <xf numFmtId="0" fontId="0" fillId="0" borderId="16" xfId="0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0" fillId="0" borderId="14" xfId="0" applyBorder="1" applyAlignment="1">
      <alignment horizontal="left" vertical="center" wrapText="1" shrinkToFit="1"/>
    </xf>
    <xf numFmtId="0" fontId="69" fillId="0" borderId="24" xfId="0" applyFont="1" applyBorder="1" applyAlignment="1">
      <alignment horizontal="center" vertical="center" wrapText="1" shrinkToFit="1"/>
    </xf>
    <xf numFmtId="0" fontId="69" fillId="0" borderId="21" xfId="0" applyFont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/>
    </xf>
    <xf numFmtId="171" fontId="0" fillId="0" borderId="0" xfId="0" applyNumberFormat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70" fontId="13" fillId="0" borderId="14" xfId="0" applyNumberFormat="1" applyFont="1" applyBorder="1" applyAlignment="1">
      <alignment horizontal="center" vertical="center" wrapText="1"/>
    </xf>
    <xf numFmtId="171" fontId="4" fillId="0" borderId="18" xfId="0" applyNumberFormat="1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70" fillId="0" borderId="3" xfId="0" applyFont="1" applyFill="1" applyBorder="1" applyAlignment="1">
      <alignment horizontal="center" vertical="center" wrapText="1" shrinkToFit="1"/>
    </xf>
    <xf numFmtId="170" fontId="4" fillId="0" borderId="3" xfId="0" applyNumberFormat="1" applyFont="1" applyFill="1" applyBorder="1" applyAlignment="1">
      <alignment horizontal="center" vertical="center" wrapText="1"/>
    </xf>
    <xf numFmtId="0" fontId="74" fillId="0" borderId="3" xfId="0" applyFont="1" applyFill="1" applyBorder="1" applyAlignment="1">
      <alignment horizontal="left" vertical="center" wrapText="1"/>
    </xf>
    <xf numFmtId="0" fontId="74" fillId="29" borderId="3" xfId="0" applyFont="1" applyFill="1" applyBorder="1" applyAlignment="1">
      <alignment horizontal="left" vertical="center" wrapText="1"/>
    </xf>
    <xf numFmtId="171" fontId="74" fillId="29" borderId="3" xfId="0" applyNumberFormat="1" applyFont="1" applyFill="1" applyBorder="1" applyAlignment="1">
      <alignment horizontal="center" vertical="center" wrapText="1"/>
    </xf>
    <xf numFmtId="171" fontId="74" fillId="0" borderId="3" xfId="0" quotePrefix="1" applyNumberFormat="1" applyFont="1" applyFill="1" applyBorder="1" applyAlignment="1">
      <alignment horizontal="center" vertical="center" wrapText="1"/>
    </xf>
    <xf numFmtId="0" fontId="74" fillId="0" borderId="3" xfId="0" quotePrefix="1" applyFont="1" applyFill="1" applyBorder="1" applyAlignment="1">
      <alignment horizontal="center" vertical="center" wrapText="1"/>
    </xf>
    <xf numFmtId="0" fontId="74" fillId="0" borderId="3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171" fontId="77" fillId="0" borderId="3" xfId="0" applyNumberFormat="1" applyFont="1" applyFill="1" applyBorder="1" applyAlignment="1">
      <alignment horizontal="center" vertical="center" wrapText="1"/>
    </xf>
    <xf numFmtId="171" fontId="77" fillId="0" borderId="3" xfId="0" quotePrefix="1" applyNumberFormat="1" applyFont="1" applyFill="1" applyBorder="1" applyAlignment="1">
      <alignment horizontal="center" vertical="center" wrapText="1"/>
    </xf>
    <xf numFmtId="171" fontId="79" fillId="0" borderId="3" xfId="0" applyNumberFormat="1" applyFont="1" applyFill="1" applyBorder="1" applyAlignment="1">
      <alignment horizontal="center" vertical="center" wrapText="1"/>
    </xf>
    <xf numFmtId="171" fontId="78" fillId="0" borderId="3" xfId="0" quotePrefix="1" applyNumberFormat="1" applyFont="1" applyFill="1" applyBorder="1" applyAlignment="1">
      <alignment horizontal="center" vertical="center" wrapText="1"/>
    </xf>
    <xf numFmtId="2" fontId="5" fillId="0" borderId="0" xfId="248" applyNumberFormat="1" applyFont="1" applyFill="1" applyBorder="1" applyAlignment="1">
      <alignment vertical="center" wrapText="1"/>
    </xf>
    <xf numFmtId="171" fontId="88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71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171" fontId="6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79" fillId="0" borderId="3" xfId="0" applyFont="1" applyFill="1" applyBorder="1" applyAlignment="1">
      <alignment horizontal="left" vertical="center" wrapText="1"/>
    </xf>
    <xf numFmtId="171" fontId="71" fillId="0" borderId="3" xfId="0" applyNumberFormat="1" applyFont="1" applyFill="1" applyBorder="1" applyAlignment="1">
      <alignment horizontal="center" vertical="center" wrapText="1"/>
    </xf>
    <xf numFmtId="0" fontId="71" fillId="0" borderId="3" xfId="0" quotePrefix="1" applyFont="1" applyFill="1" applyBorder="1" applyAlignment="1">
      <alignment horizontal="center" vertical="center"/>
    </xf>
    <xf numFmtId="171" fontId="89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left" vertical="top" wrapText="1"/>
    </xf>
    <xf numFmtId="0" fontId="9" fillId="0" borderId="3" xfId="0" quotePrefix="1" applyFont="1" applyFill="1" applyBorder="1" applyAlignment="1">
      <alignment horizontal="center" vertical="top"/>
    </xf>
    <xf numFmtId="171" fontId="9" fillId="0" borderId="3" xfId="0" applyNumberFormat="1" applyFont="1" applyFill="1" applyBorder="1" applyAlignment="1">
      <alignment horizontal="center" vertical="top" wrapText="1"/>
    </xf>
    <xf numFmtId="171" fontId="71" fillId="0" borderId="3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0" fontId="5" fillId="0" borderId="3" xfId="0" quotePrefix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0" fontId="9" fillId="0" borderId="0" xfId="0" quotePrefix="1" applyFont="1" applyFill="1" applyBorder="1" applyAlignment="1">
      <alignment horizontal="center"/>
    </xf>
    <xf numFmtId="171" fontId="71" fillId="0" borderId="0" xfId="0" applyNumberFormat="1" applyFont="1" applyFill="1" applyBorder="1" applyAlignment="1"/>
    <xf numFmtId="0" fontId="70" fillId="0" borderId="16" xfId="0" applyFont="1" applyFill="1" applyBorder="1" applyAlignment="1">
      <alignment horizontal="left" wrapText="1"/>
    </xf>
    <xf numFmtId="171" fontId="88" fillId="0" borderId="3" xfId="0" quotePrefix="1" applyNumberFormat="1" applyFont="1" applyFill="1" applyBorder="1" applyAlignment="1">
      <alignment horizontal="center" vertical="center" wrapText="1"/>
    </xf>
    <xf numFmtId="171" fontId="5" fillId="0" borderId="3" xfId="0" applyNumberFormat="1" applyFont="1" applyFill="1" applyBorder="1" applyAlignment="1">
      <alignment horizontal="center" vertical="top" wrapText="1"/>
    </xf>
    <xf numFmtId="0" fontId="71" fillId="0" borderId="15" xfId="0" quotePrefix="1" applyFont="1" applyFill="1" applyBorder="1" applyAlignment="1">
      <alignment horizontal="center" vertical="center"/>
    </xf>
    <xf numFmtId="171" fontId="5" fillId="0" borderId="3" xfId="0" applyNumberFormat="1" applyFont="1" applyFill="1" applyBorder="1" applyAlignment="1">
      <alignment horizontal="center" vertical="center" wrapText="1"/>
    </xf>
    <xf numFmtId="171" fontId="5" fillId="0" borderId="0" xfId="0" applyNumberFormat="1" applyFont="1" applyFill="1" applyBorder="1" applyAlignment="1">
      <alignment vertical="center"/>
    </xf>
    <xf numFmtId="4" fontId="0" fillId="0" borderId="0" xfId="0" applyNumberFormat="1"/>
    <xf numFmtId="0" fontId="0" fillId="0" borderId="0" xfId="0"/>
    <xf numFmtId="0" fontId="5" fillId="32" borderId="3" xfId="0" applyFont="1" applyFill="1" applyBorder="1" applyAlignment="1">
      <alignment horizontal="left" vertical="center" wrapText="1"/>
    </xf>
    <xf numFmtId="0" fontId="9" fillId="32" borderId="3" xfId="0" applyFont="1" applyFill="1" applyBorder="1" applyAlignment="1">
      <alignment horizontal="center" vertical="center"/>
    </xf>
    <xf numFmtId="171" fontId="5" fillId="32" borderId="3" xfId="0" applyNumberFormat="1" applyFont="1" applyFill="1" applyBorder="1" applyAlignment="1">
      <alignment horizontal="center" vertical="center" wrapText="1"/>
    </xf>
    <xf numFmtId="171" fontId="90" fillId="32" borderId="3" xfId="0" applyNumberFormat="1" applyFont="1" applyFill="1" applyBorder="1" applyAlignment="1">
      <alignment horizontal="center" vertical="center" wrapText="1"/>
    </xf>
    <xf numFmtId="0" fontId="71" fillId="0" borderId="3" xfId="0" applyFont="1" applyFill="1" applyBorder="1" applyAlignment="1">
      <alignment horizontal="center" vertical="center"/>
    </xf>
    <xf numFmtId="49" fontId="6" fillId="32" borderId="3" xfId="0" applyNumberFormat="1" applyFont="1" applyFill="1" applyBorder="1" applyAlignment="1">
      <alignment horizontal="left" vertical="center" wrapText="1"/>
    </xf>
    <xf numFmtId="0" fontId="78" fillId="0" borderId="0" xfId="0" applyFont="1" applyFill="1" applyBorder="1" applyAlignment="1">
      <alignment horizontal="center" vertical="center" wrapText="1"/>
    </xf>
    <xf numFmtId="170" fontId="88" fillId="0" borderId="3" xfId="0" applyNumberFormat="1" applyFont="1" applyFill="1" applyBorder="1" applyAlignment="1">
      <alignment horizontal="center" vertical="center" wrapText="1"/>
    </xf>
    <xf numFmtId="171" fontId="81" fillId="32" borderId="3" xfId="0" applyNumberFormat="1" applyFont="1" applyFill="1" applyBorder="1" applyAlignment="1">
      <alignment horizontal="center" vertical="center" wrapText="1"/>
    </xf>
    <xf numFmtId="0" fontId="5" fillId="30" borderId="0" xfId="0" applyFont="1" applyFill="1" applyAlignment="1">
      <alignment vertical="center"/>
    </xf>
    <xf numFmtId="0" fontId="9" fillId="0" borderId="3" xfId="0" applyFont="1" applyFill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vertical="center"/>
    </xf>
    <xf numFmtId="171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4" fontId="81" fillId="32" borderId="3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wrapText="1"/>
    </xf>
    <xf numFmtId="2" fontId="5" fillId="0" borderId="3" xfId="0" applyNumberFormat="1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top" wrapText="1"/>
    </xf>
    <xf numFmtId="1" fontId="88" fillId="0" borderId="0" xfId="0" applyNumberFormat="1" applyFont="1" applyFill="1" applyBorder="1" applyAlignment="1">
      <alignment horizontal="center" vertical="center"/>
    </xf>
    <xf numFmtId="4" fontId="9" fillId="0" borderId="14" xfId="0" applyNumberFormat="1" applyFont="1" applyFill="1" applyBorder="1" applyAlignment="1">
      <alignment horizontal="left" vertical="center" wrapText="1"/>
    </xf>
    <xf numFmtId="3" fontId="5" fillId="0" borderId="3" xfId="248" applyNumberFormat="1" applyFont="1" applyFill="1" applyBorder="1" applyAlignment="1">
      <alignment horizontal="center" vertical="center" wrapText="1"/>
    </xf>
    <xf numFmtId="171" fontId="4" fillId="0" borderId="3" xfId="0" applyNumberFormat="1" applyFont="1" applyFill="1" applyBorder="1" applyAlignment="1">
      <alignment horizontal="left" vertical="center" wrapText="1"/>
    </xf>
    <xf numFmtId="170" fontId="4" fillId="0" borderId="0" xfId="0" applyNumberFormat="1" applyFont="1" applyFill="1" applyBorder="1" applyAlignment="1">
      <alignment vertical="center"/>
    </xf>
    <xf numFmtId="170" fontId="5" fillId="0" borderId="0" xfId="0" applyNumberFormat="1" applyFont="1" applyFill="1" applyBorder="1" applyAlignment="1">
      <alignment vertical="center"/>
    </xf>
    <xf numFmtId="171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 wrapText="1"/>
    </xf>
    <xf numFmtId="0" fontId="71" fillId="31" borderId="3" xfId="0" applyFont="1" applyFill="1" applyBorder="1" applyAlignment="1">
      <alignment horizontal="left" vertical="center" wrapText="1"/>
    </xf>
    <xf numFmtId="0" fontId="71" fillId="31" borderId="15" xfId="0" quotePrefix="1" applyFont="1" applyFill="1" applyBorder="1" applyAlignment="1">
      <alignment horizontal="center" vertical="center"/>
    </xf>
    <xf numFmtId="171" fontId="6" fillId="31" borderId="3" xfId="0" applyNumberFormat="1" applyFont="1" applyFill="1" applyBorder="1" applyAlignment="1">
      <alignment horizontal="center" vertical="center" wrapText="1"/>
    </xf>
    <xf numFmtId="0" fontId="90" fillId="0" borderId="14" xfId="0" applyFont="1" applyFill="1" applyBorder="1" applyAlignment="1">
      <alignment horizontal="left" vertical="top" wrapText="1"/>
    </xf>
    <xf numFmtId="0" fontId="88" fillId="0" borderId="3" xfId="0" applyFont="1" applyFill="1" applyBorder="1" applyAlignment="1">
      <alignment horizontal="left" vertical="center" wrapText="1"/>
    </xf>
    <xf numFmtId="170" fontId="88" fillId="0" borderId="14" xfId="0" applyNumberFormat="1" applyFont="1" applyFill="1" applyBorder="1" applyAlignment="1">
      <alignment horizontal="center" vertical="center" wrapText="1"/>
    </xf>
    <xf numFmtId="0" fontId="88" fillId="0" borderId="3" xfId="0" applyNumberFormat="1" applyFont="1" applyFill="1" applyBorder="1" applyAlignment="1">
      <alignment horizontal="center" vertical="center" wrapText="1"/>
    </xf>
    <xf numFmtId="170" fontId="88" fillId="0" borderId="18" xfId="0" applyNumberFormat="1" applyFont="1" applyFill="1" applyBorder="1" applyAlignment="1">
      <alignment horizontal="center" vertical="center" wrapText="1"/>
    </xf>
    <xf numFmtId="0" fontId="71" fillId="0" borderId="3" xfId="0" applyFont="1" applyFill="1" applyBorder="1" applyAlignment="1">
      <alignment horizontal="left" vertical="top" wrapText="1"/>
    </xf>
    <xf numFmtId="0" fontId="71" fillId="0" borderId="3" xfId="0" applyFont="1" applyBorder="1" applyAlignment="1">
      <alignment vertical="top" wrapText="1"/>
    </xf>
    <xf numFmtId="0" fontId="5" fillId="0" borderId="3" xfId="0" applyFont="1" applyFill="1" applyBorder="1" applyAlignment="1">
      <alignment horizontal="center" vertical="top" wrapText="1"/>
    </xf>
    <xf numFmtId="171" fontId="5" fillId="0" borderId="3" xfId="0" applyNumberFormat="1" applyFont="1" applyFill="1" applyBorder="1" applyAlignment="1">
      <alignment horizontal="center" vertical="center" wrapText="1"/>
    </xf>
    <xf numFmtId="4" fontId="9" fillId="31" borderId="14" xfId="0" applyNumberFormat="1" applyFont="1" applyFill="1" applyBorder="1" applyAlignment="1">
      <alignment horizontal="center" vertical="center" wrapText="1"/>
    </xf>
    <xf numFmtId="4" fontId="9" fillId="31" borderId="17" xfId="0" applyNumberFormat="1" applyFont="1" applyFill="1" applyBorder="1" applyAlignment="1">
      <alignment horizontal="center" vertical="center" wrapText="1"/>
    </xf>
    <xf numFmtId="171" fontId="4" fillId="31" borderId="3" xfId="0" applyNumberFormat="1" applyFont="1" applyFill="1" applyBorder="1" applyAlignment="1">
      <alignment horizontal="center" vertical="center" wrapText="1"/>
    </xf>
    <xf numFmtId="171" fontId="5" fillId="31" borderId="3" xfId="0" applyNumberFormat="1" applyFont="1" applyFill="1" applyBorder="1" applyAlignment="1">
      <alignment horizontal="center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171" fontId="9" fillId="31" borderId="3" xfId="0" applyNumberFormat="1" applyFont="1" applyFill="1" applyBorder="1" applyAlignment="1">
      <alignment horizontal="center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/>
    </xf>
    <xf numFmtId="171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vertical="top" wrapText="1"/>
    </xf>
    <xf numFmtId="171" fontId="83" fillId="0" borderId="0" xfId="0" applyNumberFormat="1" applyFont="1" applyBorder="1" applyAlignment="1">
      <alignment horizontal="center" vertical="center" wrapText="1"/>
    </xf>
    <xf numFmtId="171" fontId="88" fillId="0" borderId="0" xfId="0" applyNumberFormat="1" applyFont="1" applyFill="1" applyBorder="1" applyAlignment="1">
      <alignment horizontal="center" vertical="center"/>
    </xf>
    <xf numFmtId="179" fontId="83" fillId="0" borderId="0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71" fontId="5" fillId="0" borderId="3" xfId="0" applyNumberFormat="1" applyFont="1" applyFill="1" applyBorder="1" applyAlignment="1">
      <alignment horizontal="center" vertical="center" wrapText="1"/>
    </xf>
    <xf numFmtId="170" fontId="4" fillId="31" borderId="3" xfId="0" applyNumberFormat="1" applyFont="1" applyFill="1" applyBorder="1" applyAlignment="1">
      <alignment horizontal="center" vertical="center" wrapText="1"/>
    </xf>
    <xf numFmtId="170" fontId="5" fillId="31" borderId="3" xfId="0" applyNumberFormat="1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9" fillId="31" borderId="3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/>
    </xf>
    <xf numFmtId="171" fontId="5" fillId="0" borderId="3" xfId="0" applyNumberFormat="1" applyFont="1" applyFill="1" applyBorder="1" applyAlignment="1">
      <alignment horizontal="center" vertical="center" wrapText="1"/>
    </xf>
    <xf numFmtId="0" fontId="85" fillId="0" borderId="3" xfId="0" applyFont="1" applyFill="1" applyBorder="1" applyAlignment="1">
      <alignment horizontal="left" vertical="center" wrapText="1"/>
    </xf>
    <xf numFmtId="0" fontId="84" fillId="0" borderId="3" xfId="0" quotePrefix="1" applyFont="1" applyFill="1" applyBorder="1" applyAlignment="1">
      <alignment horizontal="center" vertical="center"/>
    </xf>
    <xf numFmtId="4" fontId="84" fillId="0" borderId="3" xfId="0" applyNumberFormat="1" applyFont="1" applyFill="1" applyBorder="1" applyAlignment="1">
      <alignment horizontal="center" vertical="center" wrapText="1"/>
    </xf>
    <xf numFmtId="4" fontId="85" fillId="0" borderId="3" xfId="0" applyNumberFormat="1" applyFont="1" applyFill="1" applyBorder="1" applyAlignment="1">
      <alignment horizontal="center" vertical="center" wrapText="1"/>
    </xf>
    <xf numFmtId="171" fontId="85" fillId="0" borderId="3" xfId="0" applyNumberFormat="1" applyFont="1" applyFill="1" applyBorder="1" applyAlignment="1">
      <alignment horizontal="center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170" fontId="9" fillId="0" borderId="3" xfId="0" applyNumberFormat="1" applyFont="1" applyFill="1" applyBorder="1" applyAlignment="1">
      <alignment horizontal="left" vertical="center" wrapText="1"/>
    </xf>
    <xf numFmtId="170" fontId="4" fillId="0" borderId="3" xfId="0" quotePrefix="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71" fontId="5" fillId="0" borderId="3" xfId="0" applyNumberFormat="1" applyFont="1" applyFill="1" applyBorder="1" applyAlignment="1">
      <alignment horizontal="center" vertical="center" wrapText="1"/>
    </xf>
    <xf numFmtId="0" fontId="71" fillId="0" borderId="18" xfId="0" applyFont="1" applyBorder="1" applyAlignment="1">
      <alignment vertical="top" wrapText="1"/>
    </xf>
    <xf numFmtId="171" fontId="5" fillId="0" borderId="3" xfId="0" applyNumberFormat="1" applyFont="1" applyFill="1" applyBorder="1" applyAlignment="1">
      <alignment horizontal="center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vertical="center"/>
    </xf>
    <xf numFmtId="2" fontId="4" fillId="0" borderId="0" xfId="248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4" fillId="29" borderId="15" xfId="0" applyFont="1" applyFill="1" applyBorder="1" applyAlignment="1">
      <alignment horizontal="center" vertical="center"/>
    </xf>
    <xf numFmtId="0" fontId="4" fillId="29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71" fontId="5" fillId="0" borderId="3" xfId="0" applyNumberFormat="1" applyFont="1" applyFill="1" applyBorder="1" applyAlignment="1">
      <alignment horizontal="center" vertical="center" wrapText="1"/>
    </xf>
    <xf numFmtId="170" fontId="5" fillId="0" borderId="0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top" wrapText="1"/>
    </xf>
    <xf numFmtId="0" fontId="70" fillId="0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171" fontId="91" fillId="0" borderId="3" xfId="0" applyNumberFormat="1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vertical="center"/>
    </xf>
    <xf numFmtId="4" fontId="92" fillId="0" borderId="0" xfId="0" applyNumberFormat="1" applyFont="1" applyBorder="1" applyAlignment="1">
      <alignment horizontal="center" vertical="center" wrapText="1"/>
    </xf>
    <xf numFmtId="3" fontId="93" fillId="0" borderId="0" xfId="0" applyNumberFormat="1" applyFont="1" applyFill="1" applyBorder="1" applyAlignment="1">
      <alignment horizontal="center" vertical="center" wrapText="1"/>
    </xf>
    <xf numFmtId="171" fontId="93" fillId="0" borderId="0" xfId="0" applyNumberFormat="1" applyFont="1" applyFill="1" applyBorder="1" applyAlignment="1">
      <alignment horizontal="center" vertical="center" wrapText="1"/>
    </xf>
    <xf numFmtId="0" fontId="92" fillId="0" borderId="0" xfId="0" applyFont="1" applyBorder="1" applyAlignment="1">
      <alignment horizontal="center" vertical="center" wrapText="1"/>
    </xf>
    <xf numFmtId="3" fontId="92" fillId="0" borderId="0" xfId="0" applyNumberFormat="1" applyFont="1" applyBorder="1" applyAlignment="1">
      <alignment horizontal="center" vertical="center" wrapText="1"/>
    </xf>
    <xf numFmtId="171" fontId="92" fillId="0" borderId="0" xfId="0" applyNumberFormat="1" applyFont="1" applyBorder="1" applyAlignment="1">
      <alignment horizontal="center" vertical="center" wrapText="1"/>
    </xf>
    <xf numFmtId="171" fontId="93" fillId="0" borderId="0" xfId="0" applyNumberFormat="1" applyFont="1" applyFill="1" applyBorder="1" applyAlignment="1">
      <alignment horizontal="center" vertical="center"/>
    </xf>
    <xf numFmtId="0" fontId="93" fillId="0" borderId="0" xfId="0" applyFont="1" applyFill="1" applyBorder="1" applyAlignment="1">
      <alignment horizontal="center" vertical="top" wrapText="1"/>
    </xf>
    <xf numFmtId="0" fontId="93" fillId="0" borderId="0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center" wrapText="1"/>
    </xf>
    <xf numFmtId="171" fontId="9" fillId="0" borderId="0" xfId="0" applyNumberFormat="1" applyFont="1" applyFill="1" applyBorder="1" applyAlignment="1">
      <alignment horizontal="center" wrapText="1"/>
    </xf>
    <xf numFmtId="171" fontId="9" fillId="0" borderId="0" xfId="0" quotePrefix="1" applyNumberFormat="1" applyFont="1" applyFill="1" applyBorder="1" applyAlignment="1">
      <alignment horizontal="center" wrapText="1"/>
    </xf>
    <xf numFmtId="0" fontId="70" fillId="0" borderId="16" xfId="0" applyFont="1" applyFill="1" applyBorder="1" applyAlignment="1">
      <alignment horizontal="center"/>
    </xf>
    <xf numFmtId="0" fontId="70" fillId="0" borderId="17" xfId="0" applyFont="1" applyFill="1" applyBorder="1" applyAlignment="1" applyProtection="1">
      <alignment horizontal="center"/>
      <protection locked="0"/>
    </xf>
    <xf numFmtId="0" fontId="70" fillId="0" borderId="16" xfId="0" applyFont="1" applyFill="1" applyBorder="1" applyAlignment="1" applyProtection="1">
      <alignment horizontal="center"/>
      <protection locked="0"/>
    </xf>
    <xf numFmtId="0" fontId="70" fillId="0" borderId="14" xfId="0" applyFont="1" applyFill="1" applyBorder="1" applyAlignment="1" applyProtection="1">
      <alignment horizontal="center"/>
      <protection locked="0"/>
    </xf>
    <xf numFmtId="0" fontId="70" fillId="0" borderId="18" xfId="0" applyFont="1" applyFill="1" applyBorder="1" applyAlignment="1">
      <alignment horizontal="center" vertical="top" wrapText="1"/>
    </xf>
    <xf numFmtId="0" fontId="70" fillId="0" borderId="15" xfId="0" applyFont="1" applyFill="1" applyBorder="1" applyAlignment="1">
      <alignment horizontal="center" vertical="top" wrapText="1"/>
    </xf>
    <xf numFmtId="0" fontId="75" fillId="0" borderId="15" xfId="0" applyFont="1" applyBorder="1" applyAlignment="1">
      <alignment horizontal="center" vertical="top" wrapText="1"/>
    </xf>
    <xf numFmtId="0" fontId="72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171" fontId="9" fillId="0" borderId="16" xfId="0" applyNumberFormat="1" applyFont="1" applyFill="1" applyBorder="1" applyAlignment="1">
      <alignment horizontal="left" wrapText="1"/>
    </xf>
    <xf numFmtId="0" fontId="4" fillId="0" borderId="16" xfId="0" applyFont="1" applyFill="1" applyBorder="1" applyAlignment="1">
      <alignment horizontal="center"/>
    </xf>
    <xf numFmtId="0" fontId="4" fillId="31" borderId="18" xfId="0" applyFont="1" applyFill="1" applyBorder="1" applyAlignment="1">
      <alignment horizontal="center" vertical="top" wrapText="1"/>
    </xf>
    <xf numFmtId="0" fontId="4" fillId="31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3" xfId="248" applyFont="1" applyFill="1" applyBorder="1" applyAlignment="1">
      <alignment horizontal="left" vertical="center" wrapText="1"/>
    </xf>
    <xf numFmtId="171" fontId="5" fillId="0" borderId="0" xfId="0" applyNumberFormat="1" applyFont="1" applyFill="1" applyBorder="1" applyAlignment="1">
      <alignment horizontal="left" vertical="center" wrapText="1"/>
    </xf>
    <xf numFmtId="171" fontId="5" fillId="0" borderId="0" xfId="0" quotePrefix="1" applyNumberFormat="1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0" xfId="248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248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69" fillId="0" borderId="15" xfId="0" applyFont="1" applyBorder="1" applyAlignment="1">
      <alignment horizontal="center" vertical="top" wrapText="1"/>
    </xf>
    <xf numFmtId="0" fontId="70" fillId="0" borderId="3" xfId="248" applyFont="1" applyFill="1" applyBorder="1" applyAlignment="1">
      <alignment horizontal="left" vertical="center" wrapText="1"/>
    </xf>
    <xf numFmtId="171" fontId="9" fillId="0" borderId="0" xfId="0" applyNumberFormat="1" applyFont="1" applyFill="1" applyBorder="1" applyAlignment="1">
      <alignment horizontal="center" vertical="center" wrapText="1"/>
    </xf>
    <xf numFmtId="171" fontId="9" fillId="0" borderId="0" xfId="0" quotePrefix="1" applyNumberFormat="1" applyFont="1" applyFill="1" applyBorder="1" applyAlignment="1">
      <alignment horizontal="center" vertical="center" wrapText="1"/>
    </xf>
    <xf numFmtId="0" fontId="70" fillId="0" borderId="13" xfId="0" applyFont="1" applyFill="1" applyBorder="1" applyAlignment="1">
      <alignment horizontal="center" vertical="center"/>
    </xf>
    <xf numFmtId="0" fontId="9" fillId="0" borderId="18" xfId="248" applyFont="1" applyFill="1" applyBorder="1" applyAlignment="1">
      <alignment horizontal="center" vertical="center" wrapText="1"/>
    </xf>
    <xf numFmtId="0" fontId="9" fillId="0" borderId="15" xfId="248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 shrinkToFit="1"/>
    </xf>
    <xf numFmtId="0" fontId="9" fillId="0" borderId="3" xfId="0" applyFont="1" applyFill="1" applyBorder="1" applyAlignment="1">
      <alignment horizontal="center" vertical="center" wrapText="1"/>
    </xf>
    <xf numFmtId="171" fontId="5" fillId="0" borderId="0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/>
    </xf>
    <xf numFmtId="0" fontId="73" fillId="0" borderId="0" xfId="0" applyFont="1" applyFill="1" applyAlignment="1">
      <alignment horizontal="center" vertical="center"/>
    </xf>
    <xf numFmtId="0" fontId="5" fillId="0" borderId="18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center"/>
    </xf>
    <xf numFmtId="0" fontId="13" fillId="0" borderId="15" xfId="0" applyFont="1" applyBorder="1" applyAlignment="1">
      <alignment horizontal="center" vertical="top" wrapText="1"/>
    </xf>
    <xf numFmtId="49" fontId="9" fillId="0" borderId="17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0" fontId="9" fillId="0" borderId="26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top" wrapText="1"/>
    </xf>
    <xf numFmtId="4" fontId="70" fillId="0" borderId="17" xfId="0" applyNumberFormat="1" applyFont="1" applyFill="1" applyBorder="1" applyAlignment="1">
      <alignment horizontal="center" vertical="center" wrapText="1"/>
    </xf>
    <xf numFmtId="4" fontId="70" fillId="0" borderId="1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5" fillId="0" borderId="26" xfId="0" applyFont="1" applyFill="1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9" fillId="0" borderId="19" xfId="0" applyFont="1" applyFill="1" applyBorder="1" applyAlignment="1">
      <alignment horizontal="center" vertical="top" wrapText="1" shrinkToFit="1"/>
    </xf>
    <xf numFmtId="0" fontId="69" fillId="0" borderId="24" xfId="0" applyFont="1" applyBorder="1" applyAlignment="1">
      <alignment horizontal="center" vertical="top" wrapText="1" shrinkToFit="1"/>
    </xf>
    <xf numFmtId="0" fontId="9" fillId="0" borderId="26" xfId="0" applyFont="1" applyFill="1" applyBorder="1" applyAlignment="1">
      <alignment horizontal="center" vertical="top" wrapText="1" shrinkToFit="1"/>
    </xf>
    <xf numFmtId="0" fontId="69" fillId="0" borderId="21" xfId="0" applyFont="1" applyBorder="1" applyAlignment="1">
      <alignment horizontal="center" vertical="top" wrapText="1" shrinkToFit="1"/>
    </xf>
    <xf numFmtId="0" fontId="5" fillId="0" borderId="17" xfId="0" applyFont="1" applyFill="1" applyBorder="1" applyAlignment="1">
      <alignment horizontal="left" vertical="center" wrapText="1" shrinkToFit="1"/>
    </xf>
    <xf numFmtId="0" fontId="0" fillId="0" borderId="14" xfId="0" applyBorder="1" applyAlignment="1">
      <alignment horizontal="left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4" fontId="9" fillId="31" borderId="3" xfId="0" applyNumberFormat="1" applyFont="1" applyFill="1" applyBorder="1" applyAlignment="1">
      <alignment horizontal="center" vertical="center" wrapText="1"/>
    </xf>
    <xf numFmtId="171" fontId="5" fillId="0" borderId="0" xfId="0" applyNumberFormat="1" applyFont="1" applyFill="1" applyBorder="1" applyAlignment="1">
      <alignment horizontal="center" wrapText="1"/>
    </xf>
    <xf numFmtId="171" fontId="5" fillId="0" borderId="0" xfId="0" quotePrefix="1" applyNumberFormat="1" applyFont="1" applyFill="1" applyBorder="1" applyAlignment="1">
      <alignment horizontal="center" wrapText="1"/>
    </xf>
    <xf numFmtId="0" fontId="72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3" fontId="5" fillId="0" borderId="17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171" fontId="70" fillId="0" borderId="17" xfId="0" applyNumberFormat="1" applyFont="1" applyFill="1" applyBorder="1" applyAlignment="1">
      <alignment horizontal="center" vertical="center" wrapText="1"/>
    </xf>
    <xf numFmtId="171" fontId="70" fillId="0" borderId="14" xfId="0" applyNumberFormat="1" applyFont="1" applyFill="1" applyBorder="1" applyAlignment="1">
      <alignment horizontal="center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171" fontId="0" fillId="0" borderId="3" xfId="0" applyNumberFormat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9" fillId="0" borderId="13" xfId="0" applyFont="1" applyFill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5" fillId="0" borderId="14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0" fillId="0" borderId="16" xfId="0" applyBorder="1" applyAlignment="1">
      <alignment horizontal="left" vertical="center" wrapText="1"/>
    </xf>
    <xf numFmtId="0" fontId="9" fillId="0" borderId="18" xfId="0" applyFont="1" applyFill="1" applyBorder="1" applyAlignment="1">
      <alignment horizontal="center" vertical="center" wrapText="1" shrinkToFit="1"/>
    </xf>
    <xf numFmtId="0" fontId="9" fillId="0" borderId="15" xfId="0" applyFont="1" applyFill="1" applyBorder="1" applyAlignment="1">
      <alignment horizontal="center" vertical="center" wrapText="1" shrinkToFi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1" fontId="5" fillId="0" borderId="17" xfId="0" applyNumberFormat="1" applyFont="1" applyFill="1" applyBorder="1" applyAlignment="1">
      <alignment horizontal="center" vertical="center" wrapText="1"/>
    </xf>
    <xf numFmtId="171" fontId="5" fillId="0" borderId="14" xfId="0" applyNumberFormat="1" applyFont="1" applyFill="1" applyBorder="1" applyAlignment="1">
      <alignment horizontal="center" vertical="center" wrapText="1"/>
    </xf>
  </cellXfs>
  <cellStyles count="356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" xfId="211" builtinId="4"/>
    <cellStyle name="Денежный 2" xfId="212"/>
    <cellStyle name="Денежный 3" xfId="213"/>
    <cellStyle name="Заголовок 1 2" xfId="214"/>
    <cellStyle name="Заголовок 1 3" xfId="215"/>
    <cellStyle name="Заголовок 2 2" xfId="216"/>
    <cellStyle name="Заголовок 2 3" xfId="217"/>
    <cellStyle name="Заголовок 3 2" xfId="218"/>
    <cellStyle name="Заголовок 3 3" xfId="219"/>
    <cellStyle name="Заголовок 4 2" xfId="220"/>
    <cellStyle name="Заголовок 4 3" xfId="221"/>
    <cellStyle name="Итог 2" xfId="222"/>
    <cellStyle name="Итог 3" xfId="223"/>
    <cellStyle name="Контрольная ячейка 2" xfId="224"/>
    <cellStyle name="Контрольная ячейка 3" xfId="225"/>
    <cellStyle name="Название 2" xfId="226"/>
    <cellStyle name="Название 3" xfId="227"/>
    <cellStyle name="Нейтральный 2" xfId="228"/>
    <cellStyle name="Нейтральный 3" xfId="229"/>
    <cellStyle name="Обычный" xfId="0" builtinId="0"/>
    <cellStyle name="Обычный 10" xfId="230"/>
    <cellStyle name="Обычный 11" xfId="231"/>
    <cellStyle name="Обычный 12" xfId="232"/>
    <cellStyle name="Обычный 13" xfId="233"/>
    <cellStyle name="Обычный 14" xfId="234"/>
    <cellStyle name="Обычный 15" xfId="235"/>
    <cellStyle name="Обычный 16" xfId="236"/>
    <cellStyle name="Обычный 17" xfId="237"/>
    <cellStyle name="Обычный 18" xfId="238"/>
    <cellStyle name="Обычный 19" xfId="239"/>
    <cellStyle name="Обычный 2" xfId="240"/>
    <cellStyle name="Обычный 2 10" xfId="241"/>
    <cellStyle name="Обычный 2 11" xfId="242"/>
    <cellStyle name="Обычный 2 12" xfId="243"/>
    <cellStyle name="Обычный 2 13" xfId="244"/>
    <cellStyle name="Обычный 2 14" xfId="245"/>
    <cellStyle name="Обычный 2 15" xfId="246"/>
    <cellStyle name="Обычный 2 16" xfId="247"/>
    <cellStyle name="Обычный 2 2" xfId="248"/>
    <cellStyle name="Обычный 2 2 2" xfId="249"/>
    <cellStyle name="Обычный 2 2 3" xfId="250"/>
    <cellStyle name="Обычный 2 2_Расшифровка прочих" xfId="251"/>
    <cellStyle name="Обычный 2 3" xfId="252"/>
    <cellStyle name="Обычный 2 4" xfId="253"/>
    <cellStyle name="Обычный 2 5" xfId="254"/>
    <cellStyle name="Обычный 2 6" xfId="255"/>
    <cellStyle name="Обычный 2 7" xfId="256"/>
    <cellStyle name="Обычный 2 8" xfId="257"/>
    <cellStyle name="Обычный 2 9" xfId="258"/>
    <cellStyle name="Обычный 2_2604-2010" xfId="259"/>
    <cellStyle name="Обычный 3" xfId="260"/>
    <cellStyle name="Обычный 3 10" xfId="261"/>
    <cellStyle name="Обычный 3 11" xfId="262"/>
    <cellStyle name="Обычный 3 12" xfId="263"/>
    <cellStyle name="Обычный 3 13" xfId="264"/>
    <cellStyle name="Обычный 3 14" xfId="265"/>
    <cellStyle name="Обычный 3 2" xfId="266"/>
    <cellStyle name="Обычный 3 3" xfId="267"/>
    <cellStyle name="Обычный 3 4" xfId="268"/>
    <cellStyle name="Обычный 3 5" xfId="269"/>
    <cellStyle name="Обычный 3 6" xfId="270"/>
    <cellStyle name="Обычный 3 7" xfId="271"/>
    <cellStyle name="Обычный 3 8" xfId="272"/>
    <cellStyle name="Обычный 3 9" xfId="273"/>
    <cellStyle name="Обычный 3_Дефицит_7 млрд_0608_бс" xfId="274"/>
    <cellStyle name="Обычный 4" xfId="275"/>
    <cellStyle name="Обычный 5" xfId="276"/>
    <cellStyle name="Обычный 5 2" xfId="277"/>
    <cellStyle name="Обычный 6" xfId="278"/>
    <cellStyle name="Обычный 6 2" xfId="279"/>
    <cellStyle name="Обычный 6 3" xfId="280"/>
    <cellStyle name="Обычный 6 4" xfId="281"/>
    <cellStyle name="Обычный 6_Дефицит_7 млрд_0608_бс" xfId="282"/>
    <cellStyle name="Обычный 7" xfId="283"/>
    <cellStyle name="Обычный 7 2" xfId="284"/>
    <cellStyle name="Обычный 8" xfId="285"/>
    <cellStyle name="Обычный 9" xfId="286"/>
    <cellStyle name="Обычный 9 2" xfId="287"/>
    <cellStyle name="Плохой 2" xfId="288"/>
    <cellStyle name="Плохой 3" xfId="289"/>
    <cellStyle name="Пояснение 2" xfId="290"/>
    <cellStyle name="Пояснение 3" xfId="291"/>
    <cellStyle name="Примечание 2" xfId="292"/>
    <cellStyle name="Примечание 3" xfId="293"/>
    <cellStyle name="Процентный 2" xfId="294"/>
    <cellStyle name="Процентный 2 10" xfId="295"/>
    <cellStyle name="Процентный 2 11" xfId="296"/>
    <cellStyle name="Процентный 2 12" xfId="297"/>
    <cellStyle name="Процентный 2 13" xfId="298"/>
    <cellStyle name="Процентный 2 14" xfId="299"/>
    <cellStyle name="Процентный 2 15" xfId="300"/>
    <cellStyle name="Процентный 2 16" xfId="301"/>
    <cellStyle name="Процентный 2 2" xfId="302"/>
    <cellStyle name="Процентный 2 3" xfId="303"/>
    <cellStyle name="Процентный 2 4" xfId="304"/>
    <cellStyle name="Процентный 2 5" xfId="305"/>
    <cellStyle name="Процентный 2 6" xfId="306"/>
    <cellStyle name="Процентный 2 7" xfId="307"/>
    <cellStyle name="Процентный 2 8" xfId="308"/>
    <cellStyle name="Процентный 2 9" xfId="309"/>
    <cellStyle name="Процентный 3" xfId="310"/>
    <cellStyle name="Процентный 4" xfId="311"/>
    <cellStyle name="Процентный 4 2" xfId="312"/>
    <cellStyle name="Связанная ячейка 2" xfId="313"/>
    <cellStyle name="Связанная ячейка 3" xfId="314"/>
    <cellStyle name="Стиль 1" xfId="315"/>
    <cellStyle name="Стиль 1 2" xfId="316"/>
    <cellStyle name="Стиль 1 3" xfId="317"/>
    <cellStyle name="Стиль 1 4" xfId="318"/>
    <cellStyle name="Стиль 1 5" xfId="319"/>
    <cellStyle name="Стиль 1 6" xfId="320"/>
    <cellStyle name="Стиль 1 7" xfId="321"/>
    <cellStyle name="Текст предупреждения 2" xfId="322"/>
    <cellStyle name="Текст предупреждения 3" xfId="323"/>
    <cellStyle name="Тысячи [0]_1.62" xfId="324"/>
    <cellStyle name="Тысячи_1.62" xfId="325"/>
    <cellStyle name="Финансовый 2" xfId="326"/>
    <cellStyle name="Финансовый 2 10" xfId="327"/>
    <cellStyle name="Финансовый 2 11" xfId="328"/>
    <cellStyle name="Финансовый 2 12" xfId="329"/>
    <cellStyle name="Финансовый 2 13" xfId="330"/>
    <cellStyle name="Финансовый 2 14" xfId="331"/>
    <cellStyle name="Финансовый 2 15" xfId="332"/>
    <cellStyle name="Финансовый 2 16" xfId="333"/>
    <cellStyle name="Финансовый 2 17" xfId="334"/>
    <cellStyle name="Финансовый 2 2" xfId="335"/>
    <cellStyle name="Финансовый 2 3" xfId="336"/>
    <cellStyle name="Финансовый 2 4" xfId="337"/>
    <cellStyle name="Финансовый 2 5" xfId="338"/>
    <cellStyle name="Финансовый 2 6" xfId="339"/>
    <cellStyle name="Финансовый 2 7" xfId="340"/>
    <cellStyle name="Финансовый 2 8" xfId="341"/>
    <cellStyle name="Финансовый 2 9" xfId="342"/>
    <cellStyle name="Финансовый 3" xfId="343"/>
    <cellStyle name="Финансовый 3 2" xfId="344"/>
    <cellStyle name="Финансовый 4" xfId="345"/>
    <cellStyle name="Финансовый 4 2" xfId="346"/>
    <cellStyle name="Финансовый 4 3" xfId="347"/>
    <cellStyle name="Финансовый 5" xfId="348"/>
    <cellStyle name="Финансовый 6" xfId="349"/>
    <cellStyle name="Финансовый 7" xfId="350"/>
    <cellStyle name="Хороший 2" xfId="351"/>
    <cellStyle name="Хороший 3" xfId="352"/>
    <cellStyle name="числовой" xfId="353"/>
    <cellStyle name="Ю" xfId="354"/>
    <cellStyle name="Ю-FreeSet_10" xfId="355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60;&#1110;&#1085;&#1072;&#1085;&#1089;&#1086;&#1074;&#1110;%20&#1087;&#1083;&#1072;&#1085;&#1080;%20&#1090;&#1072;%20&#1079;&#1074;&#1110;&#1090;&#1080;/&#1047;&#1074;&#1110;&#1090;%20&#1087;&#1088;&#1086;%20&#1074;&#1080;&#1082;.%20&#1092;&#1110;&#1085;.&#1087;&#1083;&#1072;&#1085;&#1091;%20&#1079;&#1072;%20%202018&#1088;&#1110;&#1082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0;&#1055;%20&#1092;&#1110;&#1085;&#1087;&#1083;&#1072;&#1085;/&#1047;&#1072;&#1088;&#1087;&#1083;&#1072;&#1090;&#1072;%20&#1090;&#1072;%20&#1096;&#1090;&#1072;&#1090;&#1080;/&#1056;&#1086;&#1079;&#1088;&#1072;&#1093;&#1091;&#1085;&#1086;&#1082;%20&#1084;&#1110;&#1085;%20&#1079;&#1087;%20&#1079;%20%2001%2001%202019%20&#1087;&#1077;&#1088;&#1077;&#1088;&#1072;&#1093;&#1091;&#1085;&#1086;&#1082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&#1060;&#1110;&#1085;&#1087;&#1083;&#1072;&#1085;%20%20&#8470;2%20&#1085;&#1072;%202020&#1088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0;&#1055;%20&#1092;&#1110;&#1085;&#1087;&#1083;&#1072;&#1085;/&#1047;&#1072;&#1088;&#1087;&#1083;&#1072;&#1090;&#1072;%20&#1090;&#1072;%20&#1096;&#1090;&#1072;&#1090;&#1080;/&#1060;&#1054;&#1055;%20&#1079;%20%2001%2001%202020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0;&#1055;%20&#1092;&#1110;&#1085;&#1087;&#1083;&#1072;&#1085;/&#1060;&#1110;&#1085;&#1087;&#1083;&#1072;&#1085;%20&#1050;&#1050;&#1055;/&#1060;&#1030;&#1085;&#1087;&#1083;&#1072;&#1085;%202019/&#1042;&#1080;&#1082;&#1086;&#1085;&#1072;&#1085;&#1085;&#1103;%20&#1092;&#1110;&#1085;&#1087;&#1083;&#1072;&#1085;&#1091;%202019/&#1042;&#1080;&#1082;&#1086;&#1085;&#1072;&#1085;&#1085;&#1103;%20&#1092;&#1110;&#1085;&#1087;&#1083;&#1072;&#1085;%20%20&#1030;&#1087;&#1110;&#1074;%20&#8470;1%202019&#108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0;&#1055;%20&#1092;&#1110;&#1085;&#1087;&#1083;&#1072;&#1085;/&#1060;&#1110;&#1085;&#1087;&#1083;&#1072;&#1085;%20&#1050;&#1050;&#1055;/&#1060;&#1030;&#1085;&#1087;&#1083;&#1072;&#1085;%202019/&#1042;&#1080;&#1082;&#1086;&#1085;&#1072;&#1085;&#1085;&#1103;%20&#1092;&#1110;&#1085;&#1087;&#1083;&#1072;&#1085;&#1091;%202019/&#1042;&#1080;&#1082;&#1086;&#1085;&#1072;&#1085;&#1085;&#1103;%20&#1092;&#1110;&#1085;&#1087;&#1083;&#1072;&#1085;%20%20&#1030;&#1082;&#1074;.%202019&#1088;%20&#1086;&#1089;&#1090;&#1072;&#108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Звіт по фінплану - зведені"/>
      <sheetName val="1.Фінансовий результат"/>
      <sheetName val="2. Розрахунки з бюджетом"/>
      <sheetName val="3. Рух грошових коштів"/>
      <sheetName val="4. Кап. інвестиції"/>
      <sheetName val="5. Інша інформація"/>
      <sheetName val=" 6. Коефіцієнти"/>
    </sheetNames>
    <sheetDataSet>
      <sheetData sheetId="0" refreshError="1"/>
      <sheetData sheetId="1">
        <row r="15">
          <cell r="D15">
            <v>12796</v>
          </cell>
        </row>
        <row r="22">
          <cell r="D22">
            <v>285.39999999999998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ихідні"/>
      <sheetName val="Зведена"/>
      <sheetName val="Зведена за штатом"/>
      <sheetName val="розрахунок"/>
      <sheetName val="Апарат Штатний"/>
      <sheetName val="ритуаль трансп"/>
      <sheetName val="Робітники"/>
      <sheetName val="Службовці"/>
      <sheetName val="розрахунок чис.прибиральн"/>
      <sheetName val="розр тариф ставок"/>
      <sheetName val="Ш.діл.рем-буд"/>
      <sheetName val="Ш.діл.рем.елек-мех облад"/>
      <sheetName val="Ш.Мат.тех.постач"/>
      <sheetName val="Ш.кадри"/>
      <sheetName val="Ш.диспет.служби"/>
      <sheetName val="Ш.Бюро обчисл.ТіІ"/>
      <sheetName val="Ш.Служ обліку води"/>
      <sheetName val="Ш.Водоочисн станц"/>
      <sheetName val="Ш.Цех експл. ВіК насос.стан"/>
      <sheetName val="Ш.Автотрансп"/>
      <sheetName val="Ш.Цех мереж ВіВ"/>
      <sheetName val="Ш.Енергослуж"/>
      <sheetName val="Ш.Гром. харч торгів"/>
      <sheetName val="Ш.Інспекція"/>
      <sheetName val="Отчет о совместимости"/>
      <sheetName val="Лист1"/>
    </sheetNames>
    <sheetDataSet>
      <sheetData sheetId="0"/>
      <sheetData sheetId="1">
        <row r="100">
          <cell r="K100">
            <v>7513002.0899999999</v>
          </cell>
        </row>
        <row r="101">
          <cell r="K101">
            <v>1952052.45</v>
          </cell>
        </row>
        <row r="102">
          <cell r="K102">
            <v>561406.94999999995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план - зведені показники"/>
      <sheetName val="1.Фінансовий результат"/>
      <sheetName val="2. Розрахунки з бюджетом"/>
      <sheetName val="3. Рух грошових коштів"/>
      <sheetName val="4. Кап. інвестиції"/>
      <sheetName val="5. Інша інформація"/>
      <sheetName val="Доходи"/>
      <sheetName val="Вихідні "/>
      <sheetName val="Виробничі витр"/>
      <sheetName val="Збут"/>
      <sheetName val="ремонт кладов"/>
      <sheetName val="Кладовища"/>
      <sheetName val="Пагорб Слави"/>
      <sheetName val="похов +перевез безрідні"/>
      <sheetName val="буд.трауру"/>
      <sheetName val="матеріали"/>
      <sheetName val="Адміністративні"/>
      <sheetName val="вивез сміття"/>
      <sheetName val="Палив"/>
      <sheetName val="Елект"/>
      <sheetName val="газ"/>
      <sheetName val="Водопост"/>
      <sheetName val="ФОП"/>
      <sheetName val="ФОП по штату та мін зп"/>
      <sheetName val="Лист1"/>
      <sheetName val="Операційні"/>
      <sheetName val="Інші операці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3">
          <cell r="J73">
            <v>20.774789999999999</v>
          </cell>
          <cell r="L73">
            <v>4.5704538000000001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ихідні"/>
      <sheetName val="Зведена"/>
      <sheetName val="ЗведФОП за штатним "/>
      <sheetName val="розрахунок"/>
      <sheetName val="Лист3"/>
      <sheetName val="Лист2"/>
      <sheetName val="Апарат Штатний"/>
      <sheetName val="Робітники"/>
      <sheetName val="Службовці"/>
      <sheetName val="ритуаль трансп"/>
      <sheetName val="розр тариф ставок"/>
      <sheetName val="Ш.діл.рем-буд"/>
      <sheetName val="Ш.діл.рем.елек-мех облад"/>
      <sheetName val="Ш.Мат.тех.постач"/>
      <sheetName val="Ш.кадри"/>
      <sheetName val="Ш.диспет.служби"/>
      <sheetName val="Ш.Бюро обчисл.ТіІ"/>
      <sheetName val="Ш.Служ обліку води"/>
      <sheetName val="Ш.Водоочисн станц"/>
      <sheetName val="Ш.Цех експл. ВіК насос.стан"/>
      <sheetName val="Ш.Автотрансп"/>
      <sheetName val="Ш.Цех мереж ВіВ"/>
      <sheetName val="Ш.Енергослуж"/>
      <sheetName val="Ш.Гром. харч торгів"/>
      <sheetName val="Ш.Інспекція"/>
      <sheetName val="Отчет о совместимости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7">
          <cell r="C17" t="str">
            <v>Готувач композиційних блоків 3 розряду</v>
          </cell>
          <cell r="D17">
            <v>1.5</v>
          </cell>
        </row>
        <row r="18">
          <cell r="D18">
            <v>2</v>
          </cell>
        </row>
        <row r="23">
          <cell r="D23">
            <v>32.5</v>
          </cell>
        </row>
      </sheetData>
      <sheetData sheetId="8" refreshError="1"/>
      <sheetData sheetId="9" refreshError="1">
        <row r="17">
          <cell r="N17">
            <v>4507</v>
          </cell>
        </row>
        <row r="53">
          <cell r="D53">
            <v>69.099999999999994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Фінплан-зведені показники"/>
      <sheetName val="0.1.Фінплан - зведені показники"/>
      <sheetName val="1.Фінансовий результат"/>
      <sheetName val="1.1.Фінансовий результат"/>
      <sheetName val="2.Розрахунки з бюджетом"/>
      <sheetName val="2.1Розрахунки з бюджетом"/>
      <sheetName val="3.Рух грошових коштів"/>
      <sheetName val="3.1.Рух грошових коштів"/>
      <sheetName val="4.Кап. інвестиції"/>
      <sheetName val="4.1.Кап. інвестиції"/>
      <sheetName val="5. Інша інформація"/>
      <sheetName val="6. Кофіцієнти"/>
      <sheetName val="5.1. Інша інформація"/>
    </sheetNames>
    <sheetDataSet>
      <sheetData sheetId="0" refreshError="1"/>
      <sheetData sheetId="1" refreshError="1"/>
      <sheetData sheetId="2">
        <row r="13">
          <cell r="D13">
            <v>8705.4000000000015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Фінплан-зведені показники"/>
      <sheetName val="0.1.Фінплан - зведені показники"/>
      <sheetName val="1.Фінансовий результат"/>
      <sheetName val="1.1.Фінансовий результат"/>
      <sheetName val="2.Розрахунки з бюджетом"/>
      <sheetName val="2.1Розрахунки з бюджетом"/>
      <sheetName val="3.Рух грошових коштів"/>
      <sheetName val="3.1.Рух грошових коштів"/>
      <sheetName val="4.Кап. інвестиції"/>
      <sheetName val="5. Інша інформація"/>
      <sheetName val="6. Кофіцієнти"/>
      <sheetName val="4.1.Кап. інвестиції"/>
      <sheetName val="5.1. Інша інформаці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8">
          <cell r="D38">
            <v>4057</v>
          </cell>
        </row>
        <row r="63">
          <cell r="G63">
            <v>46.9</v>
          </cell>
        </row>
      </sheetData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11"/>
  <sheetViews>
    <sheetView view="pageBreakPreview" topLeftCell="A4" zoomScale="68" zoomScaleNormal="60" zoomScaleSheetLayoutView="68" workbookViewId="0">
      <selection activeCell="J11" sqref="J11"/>
    </sheetView>
  </sheetViews>
  <sheetFormatPr defaultRowHeight="18.75"/>
  <cols>
    <col min="1" max="1" width="45.42578125" style="3" customWidth="1"/>
    <col min="2" max="2" width="9.7109375" style="21" customWidth="1"/>
    <col min="3" max="3" width="12.28515625" style="21" customWidth="1"/>
    <col min="4" max="4" width="12.85546875" style="21" customWidth="1"/>
    <col min="5" max="5" width="14.42578125" style="21" customWidth="1"/>
    <col min="6" max="10" width="13.28515625" style="3" customWidth="1"/>
    <col min="11" max="11" width="10" style="3" customWidth="1"/>
    <col min="12" max="12" width="9.5703125" style="3" customWidth="1"/>
    <col min="13" max="14" width="9.140625" style="3"/>
    <col min="15" max="15" width="10.5703125" style="3" customWidth="1"/>
    <col min="16" max="16384" width="9.140625" style="3"/>
  </cols>
  <sheetData>
    <row r="1" spans="1:10">
      <c r="A1" s="362" t="s">
        <v>417</v>
      </c>
      <c r="B1" s="362"/>
      <c r="C1" s="362"/>
      <c r="D1" s="362"/>
      <c r="E1" s="362"/>
      <c r="F1" s="362"/>
      <c r="G1" s="362"/>
      <c r="H1" s="362"/>
      <c r="I1" s="362"/>
      <c r="J1" s="362"/>
    </row>
    <row r="2" spans="1:10">
      <c r="A2" s="376" t="s">
        <v>418</v>
      </c>
      <c r="B2" s="376"/>
      <c r="C2" s="376"/>
      <c r="D2" s="376"/>
      <c r="E2" s="376"/>
      <c r="F2" s="376"/>
      <c r="G2" s="376"/>
      <c r="H2" s="376"/>
      <c r="I2" s="376"/>
      <c r="J2" s="376"/>
    </row>
    <row r="3" spans="1:10">
      <c r="A3" s="362" t="s">
        <v>419</v>
      </c>
      <c r="B3" s="362"/>
      <c r="C3" s="362"/>
      <c r="D3" s="362"/>
      <c r="E3" s="362"/>
      <c r="F3" s="362"/>
      <c r="G3" s="362"/>
      <c r="H3" s="362"/>
      <c r="I3" s="362"/>
      <c r="J3" s="362"/>
    </row>
    <row r="4" spans="1:10" ht="21.75" customHeight="1">
      <c r="A4" s="377" t="s">
        <v>157</v>
      </c>
      <c r="B4" s="377"/>
      <c r="C4" s="377"/>
      <c r="D4" s="377"/>
      <c r="E4" s="377"/>
      <c r="F4" s="377"/>
      <c r="G4" s="377"/>
      <c r="H4" s="377"/>
      <c r="I4" s="377"/>
      <c r="J4" s="377"/>
    </row>
    <row r="5" spans="1:10" ht="31.5" customHeight="1">
      <c r="A5" s="364" t="s">
        <v>182</v>
      </c>
      <c r="B5" s="365" t="s">
        <v>5</v>
      </c>
      <c r="C5" s="373" t="s">
        <v>399</v>
      </c>
      <c r="D5" s="373" t="s">
        <v>400</v>
      </c>
      <c r="E5" s="365" t="s">
        <v>359</v>
      </c>
      <c r="F5" s="365" t="s">
        <v>107</v>
      </c>
      <c r="G5" s="366" t="s">
        <v>264</v>
      </c>
      <c r="H5" s="366"/>
      <c r="I5" s="366"/>
      <c r="J5" s="366"/>
    </row>
    <row r="6" spans="1:10" ht="30" customHeight="1">
      <c r="A6" s="364"/>
      <c r="B6" s="365"/>
      <c r="C6" s="374"/>
      <c r="D6" s="375"/>
      <c r="E6" s="365" t="s">
        <v>355</v>
      </c>
      <c r="F6" s="365"/>
      <c r="G6" s="193" t="s">
        <v>144</v>
      </c>
      <c r="H6" s="193" t="s">
        <v>145</v>
      </c>
      <c r="I6" s="193" t="s">
        <v>146</v>
      </c>
      <c r="J6" s="193" t="s">
        <v>55</v>
      </c>
    </row>
    <row r="7" spans="1:10" ht="20.100000000000001" customHeight="1">
      <c r="A7" s="108">
        <v>1</v>
      </c>
      <c r="B7" s="64">
        <v>2</v>
      </c>
      <c r="C7" s="64">
        <v>3</v>
      </c>
      <c r="D7" s="64">
        <v>4</v>
      </c>
      <c r="E7" s="64">
        <v>5</v>
      </c>
      <c r="F7" s="64">
        <v>6</v>
      </c>
      <c r="G7" s="64">
        <v>7</v>
      </c>
      <c r="H7" s="64">
        <v>8</v>
      </c>
      <c r="I7" s="64">
        <v>9</v>
      </c>
      <c r="J7" s="64">
        <v>10</v>
      </c>
    </row>
    <row r="8" spans="1:10" ht="24.95" customHeight="1">
      <c r="A8" s="366" t="s">
        <v>79</v>
      </c>
      <c r="B8" s="366"/>
      <c r="C8" s="366"/>
      <c r="D8" s="366"/>
      <c r="E8" s="366"/>
      <c r="F8" s="366"/>
      <c r="G8" s="366"/>
      <c r="H8" s="366"/>
      <c r="I8" s="366"/>
      <c r="J8" s="366"/>
    </row>
    <row r="9" spans="1:10" ht="37.5" customHeight="1">
      <c r="A9" s="146" t="s">
        <v>158</v>
      </c>
      <c r="B9" s="108">
        <f>'1.Фінансовий результат'!B13</f>
        <v>1040</v>
      </c>
      <c r="C9" s="79">
        <f>'1.Фінансовий результат'!C13</f>
        <v>15485.199999999999</v>
      </c>
      <c r="D9" s="79">
        <f>'1.Фінансовий результат'!D13</f>
        <v>15217</v>
      </c>
      <c r="E9" s="79">
        <f>'1.Фінансовий результат'!E13</f>
        <v>17588.5</v>
      </c>
      <c r="F9" s="79">
        <f>'1.Фінансовий результат'!F13</f>
        <v>21846.350000000002</v>
      </c>
      <c r="G9" s="79">
        <f>'1.Фінансовий результат'!G13</f>
        <v>5038</v>
      </c>
      <c r="H9" s="79">
        <f>'1.Фінансовий результат'!H13</f>
        <v>5864.2000000000007</v>
      </c>
      <c r="I9" s="79">
        <f>'1.Фінансовий результат'!I13</f>
        <v>5405.45</v>
      </c>
      <c r="J9" s="79">
        <f>'1.Фінансовий результат'!J13</f>
        <v>5538.7</v>
      </c>
    </row>
    <row r="10" spans="1:10" ht="37.5" customHeight="1">
      <c r="A10" s="146" t="s">
        <v>132</v>
      </c>
      <c r="B10" s="108">
        <f>'1.Фінансовий результат'!B14</f>
        <v>1050</v>
      </c>
      <c r="C10" s="79">
        <f>'1.Фінансовий результат'!C14</f>
        <v>12796</v>
      </c>
      <c r="D10" s="79">
        <f>'1.Фінансовий результат'!D14</f>
        <v>12273.545999999998</v>
      </c>
      <c r="E10" s="79">
        <f>'1.Фінансовий результат'!E14</f>
        <v>14066.005179810001</v>
      </c>
      <c r="F10" s="79">
        <f>'1.Фінансовий результат'!F14</f>
        <v>16280.599999999999</v>
      </c>
      <c r="G10" s="79">
        <f>'1.Фінансовий результат'!G14</f>
        <v>3674.5</v>
      </c>
      <c r="H10" s="79">
        <f>'1.Фінансовий результат'!H14</f>
        <v>4457.6000000000004</v>
      </c>
      <c r="I10" s="79">
        <f>'1.Фінансовий результат'!I14</f>
        <v>4021.7</v>
      </c>
      <c r="J10" s="79">
        <f>'1.Фінансовий результат'!J14</f>
        <v>4126.8</v>
      </c>
    </row>
    <row r="11" spans="1:10" ht="25.5" customHeight="1">
      <c r="A11" s="146" t="s">
        <v>195</v>
      </c>
      <c r="B11" s="117">
        <f>'1.Фінансовий результат'!B35</f>
        <v>1060</v>
      </c>
      <c r="C11" s="79">
        <f>'1.Фінансовий результат'!C35</f>
        <v>2689.1999999999989</v>
      </c>
      <c r="D11" s="79">
        <f>'1.Фінансовий результат'!D35</f>
        <v>2943.4540000000015</v>
      </c>
      <c r="E11" s="79">
        <f>'1.Фінансовий результат'!E35</f>
        <v>3522.4948201899988</v>
      </c>
      <c r="F11" s="79">
        <f>'1.Фінансовий результат'!F35</f>
        <v>5565.75</v>
      </c>
      <c r="G11" s="79">
        <f>'1.Фінансовий результат'!G35</f>
        <v>1363.5</v>
      </c>
      <c r="H11" s="79">
        <f>'1.Фінансовий результат'!H35</f>
        <v>1406.6000000000004</v>
      </c>
      <c r="I11" s="79">
        <f>'1.Фінансовий результат'!I35</f>
        <v>1383.75</v>
      </c>
      <c r="J11" s="79">
        <f>'1.Фінансовий результат'!J35</f>
        <v>1411.8999999999996</v>
      </c>
    </row>
    <row r="12" spans="1:10" ht="20.100000000000001" customHeight="1">
      <c r="A12" s="146" t="s">
        <v>238</v>
      </c>
      <c r="B12" s="108">
        <f>'1.Фінансовий результат'!B36</f>
        <v>1070</v>
      </c>
      <c r="C12" s="90">
        <f>'1.Фінансовий результат'!C36</f>
        <v>0</v>
      </c>
      <c r="D12" s="90">
        <f>'1.Фінансовий результат'!D36</f>
        <v>0</v>
      </c>
      <c r="E12" s="90">
        <v>0</v>
      </c>
      <c r="F12" s="90">
        <f>'1.Фінансовий результат'!F36</f>
        <v>0</v>
      </c>
      <c r="G12" s="90">
        <f>'1.Фінансовий результат'!G36</f>
        <v>0</v>
      </c>
      <c r="H12" s="90">
        <f>'1.Фінансовий результат'!H36</f>
        <v>0</v>
      </c>
      <c r="I12" s="90">
        <f>'1.Фінансовий результат'!I36</f>
        <v>0</v>
      </c>
      <c r="J12" s="90">
        <f>'1.Фінансовий результат'!J36</f>
        <v>0</v>
      </c>
    </row>
    <row r="13" spans="1:10" ht="20.100000000000001" customHeight="1">
      <c r="A13" s="146" t="s">
        <v>111</v>
      </c>
      <c r="B13" s="108">
        <f>'1.Фінансовий результат'!B37</f>
        <v>1080</v>
      </c>
      <c r="C13" s="118">
        <f>'1.Фінансовий результат'!C37</f>
        <v>1856.1999999999996</v>
      </c>
      <c r="D13" s="118">
        <f>'1.Фінансовий результат'!D37</f>
        <v>1930.864</v>
      </c>
      <c r="E13" s="118">
        <f>'1.Фінансовий результат'!E37</f>
        <v>2634.3409120769229</v>
      </c>
      <c r="F13" s="118">
        <f>'1.Фінансовий результат'!F37</f>
        <v>4420</v>
      </c>
      <c r="G13" s="118">
        <f>'1.Фінансовий результат'!G37</f>
        <v>1070.9000000000001</v>
      </c>
      <c r="H13" s="118">
        <f>'1.Фінансовий результат'!H37</f>
        <v>1138.5999999999999</v>
      </c>
      <c r="I13" s="118">
        <f>'1.Фінансовий результат'!I37</f>
        <v>1124.8</v>
      </c>
      <c r="J13" s="118">
        <f>'1.Фінансовий результат'!J37</f>
        <v>1085.7</v>
      </c>
    </row>
    <row r="14" spans="1:10" ht="20.100000000000001" customHeight="1">
      <c r="A14" s="146" t="s">
        <v>108</v>
      </c>
      <c r="B14" s="108">
        <f>'1.Фінансовий результат'!B68</f>
        <v>1110</v>
      </c>
      <c r="C14" s="118">
        <f>'1.Фінансовий результат'!C68</f>
        <v>684.7</v>
      </c>
      <c r="D14" s="118">
        <f>'1.Фінансовий результат'!D68</f>
        <v>851.4</v>
      </c>
      <c r="E14" s="118">
        <f>'1.Фінансовий результат'!E68</f>
        <v>789.11647899999991</v>
      </c>
      <c r="F14" s="118">
        <f>'1.Фінансовий результат'!F68</f>
        <v>1040</v>
      </c>
      <c r="G14" s="118">
        <f>'1.Фінансовий результат'!G68</f>
        <v>265.2</v>
      </c>
      <c r="H14" s="118">
        <f>'1.Фінансовий результат'!H68</f>
        <v>242.5</v>
      </c>
      <c r="I14" s="118">
        <f>'1.Фінансовий результат'!I68</f>
        <v>232.9</v>
      </c>
      <c r="J14" s="118">
        <f>'1.Фінансовий результат'!J68</f>
        <v>299.39999999999998</v>
      </c>
    </row>
    <row r="15" spans="1:10" ht="20.100000000000001" customHeight="1">
      <c r="A15" s="146" t="s">
        <v>12</v>
      </c>
      <c r="B15" s="108">
        <f>'1.Фінансовий результат'!B85</f>
        <v>1120</v>
      </c>
      <c r="C15" s="118">
        <f>'1.Фінансовий результат'!C85</f>
        <v>105.39999999999999</v>
      </c>
      <c r="D15" s="118">
        <f>'1.Фінансовий результат'!D85</f>
        <v>121.2</v>
      </c>
      <c r="E15" s="118">
        <f>'1.Фінансовий результат'!E85</f>
        <v>65.5</v>
      </c>
      <c r="F15" s="118">
        <f>'1.Фінансовий результат'!F85</f>
        <v>77.800000000000011</v>
      </c>
      <c r="G15" s="118">
        <f>'1.Фінансовий результат'!G85</f>
        <v>19.400000000000002</v>
      </c>
      <c r="H15" s="118">
        <f>'1.Фінансовий результат'!H85</f>
        <v>19.400000000000002</v>
      </c>
      <c r="I15" s="118">
        <f>'1.Фінансовий результат'!I85</f>
        <v>19.500000000000004</v>
      </c>
      <c r="J15" s="118">
        <f>'1.Фінансовий результат'!J85</f>
        <v>19.500000000000004</v>
      </c>
    </row>
    <row r="16" spans="1:10" ht="59.25" customHeight="1">
      <c r="A16" s="190" t="s">
        <v>241</v>
      </c>
      <c r="B16" s="147">
        <f>'1.Фінансовий результат'!B96</f>
        <v>1130</v>
      </c>
      <c r="C16" s="188">
        <f>'1.Фінансовий результат'!C96</f>
        <v>42.899999999999281</v>
      </c>
      <c r="D16" s="188">
        <f>'1.Фінансовий результат'!D96</f>
        <v>39.99000000000153</v>
      </c>
      <c r="E16" s="188">
        <f>'1.Фінансовий результат'!E96</f>
        <v>33.537429113075973</v>
      </c>
      <c r="F16" s="188">
        <f>'1.Фінансовий результат'!F96</f>
        <v>27.949999999999989</v>
      </c>
      <c r="G16" s="188">
        <f>'1.Фінансовий результат'!G96</f>
        <v>7.9999999999999183</v>
      </c>
      <c r="H16" s="188">
        <f>'1.Фінансовий результат'!H96</f>
        <v>6.2000000000004523</v>
      </c>
      <c r="I16" s="188">
        <f>'1.Фінансовий результат'!I96</f>
        <v>6.5500000000000362</v>
      </c>
      <c r="J16" s="188">
        <f>'1.Фінансовий результат'!J96</f>
        <v>7.1999999999996103</v>
      </c>
    </row>
    <row r="17" spans="1:10" ht="20.100000000000001" customHeight="1">
      <c r="A17" s="148" t="s">
        <v>249</v>
      </c>
      <c r="B17" s="108">
        <f>'1.Фінансовий результат'!B97</f>
        <v>1140</v>
      </c>
      <c r="C17" s="349">
        <f>'1.Фінансовий результат'!C97</f>
        <v>0</v>
      </c>
      <c r="D17" s="349">
        <f>'1.Фінансовий результат'!D97</f>
        <v>0</v>
      </c>
      <c r="E17" s="349">
        <v>0</v>
      </c>
      <c r="F17" s="349">
        <f>'1.Фінансовий результат'!F97</f>
        <v>0</v>
      </c>
      <c r="G17" s="349">
        <f>'1.Фінансовий результат'!G97</f>
        <v>0</v>
      </c>
      <c r="H17" s="349">
        <f>'1.Фінансовий результат'!H97</f>
        <v>0</v>
      </c>
      <c r="I17" s="349">
        <f>'1.Фінансовий результат'!I97</f>
        <v>0</v>
      </c>
      <c r="J17" s="349">
        <f>'1.Фінансовий результат'!J97</f>
        <v>0</v>
      </c>
    </row>
    <row r="18" spans="1:10" ht="20.100000000000001" customHeight="1">
      <c r="A18" s="148" t="s">
        <v>250</v>
      </c>
      <c r="B18" s="108">
        <f>'1.Фінансовий результат'!B98</f>
        <v>1150</v>
      </c>
      <c r="C18" s="349">
        <f>'1.Фінансовий результат'!C98</f>
        <v>0</v>
      </c>
      <c r="D18" s="349">
        <f>'1.Фінансовий результат'!D98</f>
        <v>0</v>
      </c>
      <c r="E18" s="349">
        <v>0</v>
      </c>
      <c r="F18" s="349">
        <f>'1.Фінансовий результат'!F98</f>
        <v>0</v>
      </c>
      <c r="G18" s="349">
        <f>'1.Фінансовий результат'!G98</f>
        <v>0</v>
      </c>
      <c r="H18" s="349">
        <f>'1.Фінансовий результат'!H98</f>
        <v>0</v>
      </c>
      <c r="I18" s="349">
        <f>'1.Фінансовий результат'!I98</f>
        <v>0</v>
      </c>
      <c r="J18" s="349">
        <f>'1.Фінансовий результат'!J98</f>
        <v>0</v>
      </c>
    </row>
    <row r="19" spans="1:10" ht="20.100000000000001" customHeight="1">
      <c r="A19" s="146" t="s">
        <v>239</v>
      </c>
      <c r="B19" s="108">
        <f>'1.Фінансовий результат'!B99</f>
        <v>1160</v>
      </c>
      <c r="C19" s="349">
        <f>'1.Фінансовий результат'!C99</f>
        <v>0</v>
      </c>
      <c r="D19" s="349">
        <f>'1.Фінансовий результат'!D99</f>
        <v>0</v>
      </c>
      <c r="E19" s="349">
        <v>0</v>
      </c>
      <c r="F19" s="349">
        <f>'1.Фінансовий результат'!F99</f>
        <v>0</v>
      </c>
      <c r="G19" s="349">
        <f>'1.Фінансовий результат'!G99</f>
        <v>0</v>
      </c>
      <c r="H19" s="349">
        <f>'1.Фінансовий результат'!H99</f>
        <v>0</v>
      </c>
      <c r="I19" s="349">
        <f>'1.Фінансовий результат'!I99</f>
        <v>0</v>
      </c>
      <c r="J19" s="349">
        <f>'1.Фінансовий результат'!J99</f>
        <v>0</v>
      </c>
    </row>
    <row r="20" spans="1:10" ht="20.100000000000001" customHeight="1">
      <c r="A20" s="146" t="s">
        <v>240</v>
      </c>
      <c r="B20" s="108">
        <f>'1.Фінансовий результат'!B100</f>
        <v>1170</v>
      </c>
      <c r="C20" s="349">
        <f>'1.Фінансовий результат'!C100</f>
        <v>0</v>
      </c>
      <c r="D20" s="349">
        <f>'1.Фінансовий результат'!D100</f>
        <v>0</v>
      </c>
      <c r="E20" s="349">
        <v>0</v>
      </c>
      <c r="F20" s="349">
        <f>'1.Фінансовий результат'!F100</f>
        <v>0</v>
      </c>
      <c r="G20" s="349">
        <f>'1.Фінансовий результат'!G100</f>
        <v>0</v>
      </c>
      <c r="H20" s="349">
        <f>'1.Фінансовий результат'!H100</f>
        <v>0</v>
      </c>
      <c r="I20" s="349">
        <f>'1.Фінансовий результат'!I100</f>
        <v>0</v>
      </c>
      <c r="J20" s="349">
        <f>'1.Фінансовий результат'!J100</f>
        <v>0</v>
      </c>
    </row>
    <row r="21" spans="1:10" ht="43.5" customHeight="1">
      <c r="A21" s="191" t="s">
        <v>243</v>
      </c>
      <c r="B21" s="117">
        <f>'1.Фінансовий результат'!B101</f>
        <v>1200</v>
      </c>
      <c r="C21" s="79">
        <f>'1.Фінансовий результат'!C101</f>
        <v>42.899999999999281</v>
      </c>
      <c r="D21" s="79">
        <f>'1.Фінансовий результат'!D101</f>
        <v>39.99000000000153</v>
      </c>
      <c r="E21" s="79">
        <f>'1.Фінансовий результат'!E101</f>
        <v>33.537429113075973</v>
      </c>
      <c r="F21" s="79">
        <f>'1.Фінансовий результат'!F101</f>
        <v>27.949999999999989</v>
      </c>
      <c r="G21" s="79">
        <f>'1.Фінансовий результат'!G101</f>
        <v>7.9999999999999183</v>
      </c>
      <c r="H21" s="79">
        <f>'1.Фінансовий результат'!H101</f>
        <v>6.2000000000004523</v>
      </c>
      <c r="I21" s="79">
        <f>'1.Фінансовий результат'!I101</f>
        <v>6.5500000000000362</v>
      </c>
      <c r="J21" s="79">
        <f>'1.Фінансовий результат'!J101</f>
        <v>7.1999999999996103</v>
      </c>
    </row>
    <row r="22" spans="1:10" ht="20.100000000000001" customHeight="1">
      <c r="A22" s="189" t="s">
        <v>109</v>
      </c>
      <c r="B22" s="108">
        <f>'1.Фінансовий результат'!B102</f>
        <v>1210</v>
      </c>
      <c r="C22" s="118">
        <f>'1.Фінансовий результат'!C102</f>
        <v>7.8</v>
      </c>
      <c r="D22" s="118">
        <f>'1.Фінансовий результат'!D102</f>
        <v>7.2</v>
      </c>
      <c r="E22" s="118">
        <f>'1.Фінансовий результат'!E102</f>
        <v>6.0367372403536752</v>
      </c>
      <c r="F22" s="118">
        <f>'1.Фінансовий результат'!F102</f>
        <v>5</v>
      </c>
      <c r="G22" s="118">
        <f>'1.Фінансовий результат'!G102</f>
        <v>1.4</v>
      </c>
      <c r="H22" s="118">
        <f>'1.Фінансовий результат'!H102</f>
        <v>1.1000000000000001</v>
      </c>
      <c r="I22" s="118">
        <f>'1.Фінансовий результат'!I102</f>
        <v>1.2</v>
      </c>
      <c r="J22" s="118">
        <f>'1.Фінансовий результат'!J102</f>
        <v>1.3</v>
      </c>
    </row>
    <row r="23" spans="1:10" ht="39" customHeight="1">
      <c r="A23" s="190" t="s">
        <v>244</v>
      </c>
      <c r="B23" s="147">
        <f>'1.Фінансовий результат'!B104</f>
        <v>1230</v>
      </c>
      <c r="C23" s="188">
        <f>'1.Фінансовий результат'!C104</f>
        <v>35.099999999999284</v>
      </c>
      <c r="D23" s="188">
        <f>'1.Фінансовий результат'!D104</f>
        <v>32.790000000001527</v>
      </c>
      <c r="E23" s="188">
        <f>'1.Фінансовий результат'!E104</f>
        <v>27.5006918727223</v>
      </c>
      <c r="F23" s="188">
        <f>'1.Фінансовий результат'!F104</f>
        <v>22.949999999999989</v>
      </c>
      <c r="G23" s="188">
        <f>'1.Фінансовий результат'!G104</f>
        <v>6.5999999999999179</v>
      </c>
      <c r="H23" s="188">
        <f>'1.Фінансовий результат'!H104</f>
        <v>5.1000000000004526</v>
      </c>
      <c r="I23" s="188">
        <f>'1.Фінансовий результат'!I104</f>
        <v>5.3500000000000361</v>
      </c>
      <c r="J23" s="188">
        <f>'1.Фінансовий результат'!J104</f>
        <v>5.8999999999996104</v>
      </c>
    </row>
    <row r="24" spans="1:10" ht="24.95" customHeight="1">
      <c r="A24" s="364" t="s">
        <v>119</v>
      </c>
      <c r="B24" s="364"/>
      <c r="C24" s="364"/>
      <c r="D24" s="364"/>
      <c r="E24" s="364"/>
      <c r="F24" s="364"/>
      <c r="G24" s="364"/>
      <c r="H24" s="364"/>
      <c r="I24" s="364"/>
      <c r="J24" s="364"/>
    </row>
    <row r="25" spans="1:10" ht="30.75" customHeight="1">
      <c r="A25" s="149" t="s">
        <v>183</v>
      </c>
      <c r="B25" s="108">
        <f>'2. Розрахунки з бюджетом'!B18</f>
        <v>2100</v>
      </c>
      <c r="C25" s="79">
        <f>'2. Розрахунки з бюджетом'!C18</f>
        <v>5.2649999999998922</v>
      </c>
      <c r="D25" s="79">
        <f>'2. Розрахунки з бюджетом'!D18</f>
        <v>4.918500000000229</v>
      </c>
      <c r="E25" s="79">
        <f>'2. Розрахунки з бюджетом'!E18</f>
        <v>4.1251037809083444</v>
      </c>
      <c r="F25" s="79">
        <f>'2. Розрахунки з бюджетом'!F18</f>
        <v>3.4</v>
      </c>
      <c r="G25" s="79">
        <f>'2. Розрахунки з бюджетом'!G18</f>
        <v>1</v>
      </c>
      <c r="H25" s="79">
        <f>'2. Розрахунки з бюджетом'!H18</f>
        <v>0.8</v>
      </c>
      <c r="I25" s="79">
        <f>'2. Розрахунки з бюджетом'!I18</f>
        <v>0.70000000000000007</v>
      </c>
      <c r="J25" s="79">
        <f>'2. Розрахунки з бюджетом'!J18</f>
        <v>0.9</v>
      </c>
    </row>
    <row r="26" spans="1:10" ht="20.100000000000001" customHeight="1">
      <c r="A26" s="104" t="s">
        <v>118</v>
      </c>
      <c r="B26" s="108">
        <f>'2. Розрахунки з бюджетом'!B19</f>
        <v>2110</v>
      </c>
      <c r="C26" s="79">
        <f>'2. Розрахунки з бюджетом'!C19</f>
        <v>7.8</v>
      </c>
      <c r="D26" s="79">
        <f>'2. Розрахунки з бюджетом'!D19</f>
        <v>7.2</v>
      </c>
      <c r="E26" s="79">
        <f>'2. Розрахунки з бюджетом'!E19</f>
        <v>6.0367372403536752</v>
      </c>
      <c r="F26" s="79">
        <f>'2. Розрахунки з бюджетом'!F19</f>
        <v>5</v>
      </c>
      <c r="G26" s="79">
        <f>'2. Розрахунки з бюджетом'!G19</f>
        <v>1.4</v>
      </c>
      <c r="H26" s="79">
        <f>'2. Розрахунки з бюджетом'!H19</f>
        <v>1.1000000000000001</v>
      </c>
      <c r="I26" s="79">
        <f>'2. Розрахунки з бюджетом'!I19</f>
        <v>1.2</v>
      </c>
      <c r="J26" s="79">
        <f>'2. Розрахунки з бюджетом'!J19</f>
        <v>1.3</v>
      </c>
    </row>
    <row r="27" spans="1:10" ht="67.5" customHeight="1">
      <c r="A27" s="104" t="s">
        <v>216</v>
      </c>
      <c r="B27" s="108">
        <f>'2. Розрахунки з бюджетом'!B20</f>
        <v>2120</v>
      </c>
      <c r="C27" s="79">
        <f>'2. Розрахунки з бюджетом'!C20</f>
        <v>45</v>
      </c>
      <c r="D27" s="79">
        <f>'2. Розрахунки з бюджетом'!D20</f>
        <v>95.710799999999978</v>
      </c>
      <c r="E27" s="79">
        <f>'2. Розрахунки з бюджетом'!E20</f>
        <v>106.39859999999999</v>
      </c>
      <c r="F27" s="79">
        <f>'2. Розрахунки з бюджетом'!F20</f>
        <v>138.6</v>
      </c>
      <c r="G27" s="79">
        <f>'2. Розрахунки з бюджетом'!G20</f>
        <v>32</v>
      </c>
      <c r="H27" s="79">
        <f>'2. Розрахунки з бюджетом'!H20</f>
        <v>37.200000000000003</v>
      </c>
      <c r="I27" s="79">
        <f>'2. Розрахунки з бюджетом'!I20</f>
        <v>34.299999999999997</v>
      </c>
      <c r="J27" s="79">
        <f>'2. Розрахунки з бюджетом'!J20</f>
        <v>35.1</v>
      </c>
    </row>
    <row r="28" spans="1:10" ht="65.25" customHeight="1">
      <c r="A28" s="104" t="s">
        <v>217</v>
      </c>
      <c r="B28" s="108">
        <f>'2. Розрахунки з бюджетом'!B21</f>
        <v>2130</v>
      </c>
      <c r="C28" s="79">
        <f>'2. Розрахунки з бюджетом'!C21</f>
        <v>0</v>
      </c>
      <c r="D28" s="79">
        <f>'2. Розрахунки з бюджетом'!D21</f>
        <v>0</v>
      </c>
      <c r="E28" s="79">
        <f>'2. Розрахунки з бюджетом'!E21</f>
        <v>0</v>
      </c>
      <c r="F28" s="79">
        <f>'2. Розрахунки з бюджетом'!F21</f>
        <v>0</v>
      </c>
      <c r="G28" s="79">
        <f>'2. Розрахунки з бюджетом'!G21</f>
        <v>0</v>
      </c>
      <c r="H28" s="79">
        <f>'2. Розрахунки з бюджетом'!H21</f>
        <v>0</v>
      </c>
      <c r="I28" s="79">
        <f>'2. Розрахунки з бюджетом'!I21</f>
        <v>0</v>
      </c>
      <c r="J28" s="79">
        <f>'2. Розрахунки з бюджетом'!J21</f>
        <v>0</v>
      </c>
    </row>
    <row r="29" spans="1:10" ht="48" customHeight="1">
      <c r="A29" s="149" t="s">
        <v>177</v>
      </c>
      <c r="B29" s="108">
        <f>'2. Розрахунки з бюджетом'!B22</f>
        <v>2140</v>
      </c>
      <c r="C29" s="79">
        <f>'2. Розрахунки з бюджетом'!C22</f>
        <v>1503.8364520000002</v>
      </c>
      <c r="D29" s="79">
        <f>'2. Розрахунки з бюджетом'!D22</f>
        <v>1573.9759999999997</v>
      </c>
      <c r="E29" s="79">
        <f>'2. Розрахунки з бюджетом'!E22</f>
        <v>1852.1559905499998</v>
      </c>
      <c r="F29" s="79">
        <f>'2. Розрахунки з бюджетом'!F22</f>
        <v>2262.4</v>
      </c>
      <c r="G29" s="79">
        <f>'2. Розрахунки з бюджетом'!G22</f>
        <v>539.6</v>
      </c>
      <c r="H29" s="79">
        <f>'2. Розрахунки з бюджетом'!H22</f>
        <v>553.20000000000005</v>
      </c>
      <c r="I29" s="79">
        <f>'2. Розрахунки з бюджетом'!I22</f>
        <v>575</v>
      </c>
      <c r="J29" s="79">
        <f>'2. Розрахунки з бюджетом'!J22</f>
        <v>594.6</v>
      </c>
    </row>
    <row r="30" spans="1:10" ht="39" customHeight="1">
      <c r="A30" s="149" t="s">
        <v>66</v>
      </c>
      <c r="B30" s="108">
        <f>'2. Розрахунки з бюджетом'!B38</f>
        <v>2150</v>
      </c>
      <c r="C30" s="79">
        <f>'2. Розрахунки з бюджетом'!C38</f>
        <v>1510.5</v>
      </c>
      <c r="D30" s="79">
        <f>'2. Розрахунки з бюджетом'!D38</f>
        <v>1636.1099999999997</v>
      </c>
      <c r="E30" s="79">
        <f>'2. Розрахунки з бюджетом'!E38</f>
        <v>2010.6375277999998</v>
      </c>
      <c r="F30" s="79">
        <f>'2. Розрахунки з бюджетом'!F38</f>
        <v>2461.6</v>
      </c>
      <c r="G30" s="79">
        <f>'2. Розрахунки з бюджетом'!G38</f>
        <v>586.20000000000005</v>
      </c>
      <c r="H30" s="79">
        <f>'2. Розрахунки з бюджетом'!H38</f>
        <v>601.6</v>
      </c>
      <c r="I30" s="79">
        <f>'2. Розрахунки з бюджетом'!I38</f>
        <v>625.79999999999995</v>
      </c>
      <c r="J30" s="79">
        <f>'2. Розрахунки з бюджетом'!J38</f>
        <v>648</v>
      </c>
    </row>
    <row r="31" spans="1:10" ht="27.75" customHeight="1">
      <c r="A31" s="192" t="s">
        <v>184</v>
      </c>
      <c r="B31" s="117">
        <f>'2. Розрахунки з бюджетом'!B39</f>
        <v>2200</v>
      </c>
      <c r="C31" s="79">
        <f>'2. Розрахунки з бюджетом'!C39</f>
        <v>3072.4014520000001</v>
      </c>
      <c r="D31" s="79">
        <f>'2. Розрахунки з бюджетом'!D39</f>
        <v>3317.9152999999997</v>
      </c>
      <c r="E31" s="79">
        <f>'2. Розрахунки з бюджетом'!E39</f>
        <v>3979.3539593712617</v>
      </c>
      <c r="F31" s="79">
        <f>'2. Розрахунки з бюджетом'!F39</f>
        <v>4871</v>
      </c>
      <c r="G31" s="79">
        <f>'2. Розрахунки з бюджетом'!G39</f>
        <v>1160.2</v>
      </c>
      <c r="H31" s="79">
        <f>'2. Розрахунки з бюджетом'!H39</f>
        <v>1193.9000000000001</v>
      </c>
      <c r="I31" s="79">
        <f>'2. Розрахунки з бюджетом'!I39</f>
        <v>1237</v>
      </c>
      <c r="J31" s="79">
        <f>'2. Розрахунки з бюджетом'!J39</f>
        <v>1279.9000000000001</v>
      </c>
    </row>
    <row r="32" spans="1:10" ht="24.95" customHeight="1">
      <c r="A32" s="364" t="s">
        <v>117</v>
      </c>
      <c r="B32" s="364"/>
      <c r="C32" s="364"/>
      <c r="D32" s="364"/>
      <c r="E32" s="364"/>
      <c r="F32" s="364"/>
      <c r="G32" s="364"/>
      <c r="H32" s="364"/>
      <c r="I32" s="364"/>
      <c r="J32" s="364"/>
    </row>
    <row r="33" spans="1:10" ht="20.100000000000001" customHeight="1">
      <c r="A33" s="149" t="s">
        <v>112</v>
      </c>
      <c r="B33" s="117">
        <f>'3. Рух грошових коштів'!B77</f>
        <v>3600</v>
      </c>
      <c r="C33" s="79">
        <f>'3. Рух грошових коштів'!C77</f>
        <v>137</v>
      </c>
      <c r="D33" s="79">
        <f>'3. Рух грошових коштів'!D77</f>
        <v>60</v>
      </c>
      <c r="E33" s="79">
        <f>'3. Рух грошових коштів'!E77</f>
        <v>448</v>
      </c>
      <c r="F33" s="79">
        <f>'3. Рух грошових коштів'!F77</f>
        <v>475.50069187272231</v>
      </c>
      <c r="G33" s="79">
        <f>'3. Рух грошових коштів'!G77</f>
        <v>475.50069187272231</v>
      </c>
      <c r="H33" s="79">
        <f>'3. Рух грошових коштів'!H77</f>
        <v>482.10069187272222</v>
      </c>
      <c r="I33" s="79">
        <f>'3. Рух грошових коштів'!I77</f>
        <v>487.2006918727227</v>
      </c>
      <c r="J33" s="79">
        <f>'3. Рух грошових коштів'!J77</f>
        <v>492.55069187272272</v>
      </c>
    </row>
    <row r="34" spans="1:10" ht="30.75" customHeight="1">
      <c r="A34" s="149" t="s">
        <v>113</v>
      </c>
      <c r="B34" s="108">
        <f>'3. Рух грошових коштів'!B28</f>
        <v>3090</v>
      </c>
      <c r="C34" s="79">
        <f>'3. Рух грошових коштів'!C28</f>
        <v>35.099999999999284</v>
      </c>
      <c r="D34" s="79">
        <f>'3. Рух грошових коштів'!D28</f>
        <v>32.790000000001527</v>
      </c>
      <c r="E34" s="79">
        <f>'3. Рух грошових коштів'!E28</f>
        <v>27.5006918727223</v>
      </c>
      <c r="F34" s="79">
        <f>'3. Рух грошових коштів'!F28</f>
        <v>22.949999999999989</v>
      </c>
      <c r="G34" s="79">
        <f>'3. Рух грошових коштів'!G28</f>
        <v>6.5999999999999179</v>
      </c>
      <c r="H34" s="79">
        <f>'3. Рух грошових коштів'!H28</f>
        <v>5.1000000000004526</v>
      </c>
      <c r="I34" s="79">
        <f>'3. Рух грошових коштів'!I28</f>
        <v>5.3500000000000361</v>
      </c>
      <c r="J34" s="79">
        <f>'3. Рух грошових коштів'!J28</f>
        <v>5.8999999999996104</v>
      </c>
    </row>
    <row r="35" spans="1:10" ht="30.75" customHeight="1">
      <c r="A35" s="149" t="s">
        <v>171</v>
      </c>
      <c r="B35" s="108">
        <f>'3. Рух грошових коштів'!B49</f>
        <v>3320</v>
      </c>
      <c r="C35" s="10">
        <f>'3. Рух грошових коштів'!C49</f>
        <v>0</v>
      </c>
      <c r="D35" s="10">
        <f>'3. Рух грошових коштів'!D49</f>
        <v>0</v>
      </c>
      <c r="E35" s="10">
        <v>0</v>
      </c>
      <c r="F35" s="10">
        <f>'3. Рух грошових коштів'!F49</f>
        <v>0</v>
      </c>
      <c r="G35" s="10">
        <f>'3. Рух грошових коштів'!G49</f>
        <v>0</v>
      </c>
      <c r="H35" s="10">
        <f>'3. Рух грошових коштів'!H49</f>
        <v>0</v>
      </c>
      <c r="I35" s="10">
        <f>'3. Рух грошових коштів'!I49</f>
        <v>0</v>
      </c>
      <c r="J35" s="10">
        <f>'3. Рух грошових коштів'!J49</f>
        <v>0</v>
      </c>
    </row>
    <row r="36" spans="1:10" ht="30.75" customHeight="1">
      <c r="A36" s="149" t="s">
        <v>114</v>
      </c>
      <c r="B36" s="108">
        <f>'3. Рух грошових коштів'!B75</f>
        <v>3580</v>
      </c>
      <c r="C36" s="10">
        <f>'3. Рух грошових коштів'!C75</f>
        <v>0</v>
      </c>
      <c r="D36" s="10">
        <f>'3. Рух грошових коштів'!D75</f>
        <v>0</v>
      </c>
      <c r="E36" s="10">
        <v>0</v>
      </c>
      <c r="F36" s="10">
        <f>'3. Рух грошових коштів'!F75</f>
        <v>0</v>
      </c>
      <c r="G36" s="10">
        <f>'3. Рух грошових коштів'!G75</f>
        <v>0</v>
      </c>
      <c r="H36" s="10">
        <f>'3. Рух грошових коштів'!H75</f>
        <v>0</v>
      </c>
      <c r="I36" s="10">
        <f>'3. Рух грошових коштів'!I75</f>
        <v>0</v>
      </c>
      <c r="J36" s="10">
        <f>'3. Рух грошових коштів'!J75</f>
        <v>0</v>
      </c>
    </row>
    <row r="37" spans="1:10" ht="30.75" customHeight="1">
      <c r="A37" s="149" t="s">
        <v>130</v>
      </c>
      <c r="B37" s="108">
        <f>'3. Рух грошових коштів'!B78</f>
        <v>3610</v>
      </c>
      <c r="C37" s="10">
        <f>'3. Рух грошових коштів'!C78</f>
        <v>0</v>
      </c>
      <c r="D37" s="10">
        <f>'3. Рух грошових коштів'!D78</f>
        <v>0</v>
      </c>
      <c r="E37" s="10">
        <v>0</v>
      </c>
      <c r="F37" s="10">
        <f>'3. Рух грошових коштів'!F78</f>
        <v>0</v>
      </c>
      <c r="G37" s="10">
        <f>'3. Рух грошових коштів'!G78</f>
        <v>0</v>
      </c>
      <c r="H37" s="10">
        <f>'3. Рух грошових коштів'!H78</f>
        <v>0</v>
      </c>
      <c r="I37" s="10">
        <f>'3. Рух грошових коштів'!I78</f>
        <v>0</v>
      </c>
      <c r="J37" s="10">
        <f>'3. Рух грошових коштів'!J78</f>
        <v>0</v>
      </c>
    </row>
    <row r="38" spans="1:10" ht="20.100000000000001" customHeight="1">
      <c r="A38" s="149" t="s">
        <v>115</v>
      </c>
      <c r="B38" s="117">
        <f>'3. Рух грошових коштів'!B79</f>
        <v>3620</v>
      </c>
      <c r="C38" s="79">
        <f>'3. Рух грошових коштів'!C79</f>
        <v>448</v>
      </c>
      <c r="D38" s="79">
        <f>'3. Рух грошових коштів'!D79</f>
        <v>92.790000000001527</v>
      </c>
      <c r="E38" s="79">
        <f>'3. Рух грошових коштів'!E79</f>
        <v>475.50069187272231</v>
      </c>
      <c r="F38" s="79">
        <f>'3. Рух грошових коштів'!F79</f>
        <v>498.4506918727223</v>
      </c>
      <c r="G38" s="79">
        <f>'3. Рух грошових коштів'!G79</f>
        <v>482.10069187272222</v>
      </c>
      <c r="H38" s="79">
        <f>'3. Рух грошових коштів'!H79</f>
        <v>487.2006918727227</v>
      </c>
      <c r="I38" s="79">
        <f>'3. Рух грошових коштів'!I79</f>
        <v>492.55069187272272</v>
      </c>
      <c r="J38" s="79">
        <f>'3. Рух грошових коштів'!J79</f>
        <v>498.45069187272236</v>
      </c>
    </row>
    <row r="39" spans="1:10" ht="24.95" customHeight="1">
      <c r="A39" s="370" t="s">
        <v>161</v>
      </c>
      <c r="B39" s="371"/>
      <c r="C39" s="371"/>
      <c r="D39" s="371"/>
      <c r="E39" s="371"/>
      <c r="F39" s="371"/>
      <c r="G39" s="371"/>
      <c r="H39" s="371"/>
      <c r="I39" s="371"/>
      <c r="J39" s="372"/>
    </row>
    <row r="40" spans="1:10" ht="20.100000000000001" customHeight="1">
      <c r="A40" s="192" t="s">
        <v>160</v>
      </c>
      <c r="B40" s="108">
        <f>'4. Кап. інвестиції'!B8</f>
        <v>4000</v>
      </c>
      <c r="C40" s="79">
        <f>'4. Кап. інвестиції'!C8</f>
        <v>0</v>
      </c>
      <c r="D40" s="79">
        <f>'4. Кап. інвестиції'!D8</f>
        <v>4705</v>
      </c>
      <c r="E40" s="79">
        <f>'4. Кап. інвестиції'!E8</f>
        <v>4218.8999999999996</v>
      </c>
      <c r="F40" s="79">
        <f>'4. Кап. інвестиції'!F8</f>
        <v>6464.6367199999995</v>
      </c>
      <c r="G40" s="79">
        <f>'4. Кап. інвестиції'!G8</f>
        <v>205.53672</v>
      </c>
      <c r="H40" s="79">
        <f>'4. Кап. інвестиції'!H8</f>
        <v>3239.7</v>
      </c>
      <c r="I40" s="79">
        <f>'4. Кап. інвестиції'!I8</f>
        <v>2759.7</v>
      </c>
      <c r="J40" s="79">
        <f>'4. Кап. інвестиції'!J8</f>
        <v>259.7</v>
      </c>
    </row>
    <row r="41" spans="1:10" ht="48" customHeight="1">
      <c r="A41" s="237" t="s">
        <v>373</v>
      </c>
      <c r="B41" s="235"/>
      <c r="C41" s="367" t="s">
        <v>85</v>
      </c>
      <c r="D41" s="367"/>
      <c r="E41" s="367"/>
      <c r="F41" s="368"/>
      <c r="G41" s="236"/>
      <c r="H41" s="369" t="s">
        <v>315</v>
      </c>
      <c r="I41" s="369"/>
      <c r="J41" s="369"/>
    </row>
    <row r="42" spans="1:10" s="2" customFormat="1" ht="21" customHeight="1">
      <c r="A42" s="49" t="s">
        <v>61</v>
      </c>
      <c r="B42" s="125"/>
      <c r="C42" s="363" t="s">
        <v>62</v>
      </c>
      <c r="D42" s="363"/>
      <c r="E42" s="363"/>
      <c r="F42" s="363"/>
      <c r="G42" s="126"/>
      <c r="H42" s="363" t="s">
        <v>81</v>
      </c>
      <c r="I42" s="363"/>
      <c r="J42" s="363"/>
    </row>
    <row r="44" spans="1:10">
      <c r="A44" s="37"/>
    </row>
    <row r="45" spans="1:10">
      <c r="A45" s="37"/>
    </row>
    <row r="46" spans="1:10">
      <c r="A46" s="37"/>
    </row>
    <row r="47" spans="1:10" s="21" customFormat="1">
      <c r="A47" s="37"/>
      <c r="F47" s="3"/>
      <c r="G47" s="3"/>
      <c r="H47" s="3"/>
      <c r="I47" s="3"/>
      <c r="J47" s="3"/>
    </row>
    <row r="48" spans="1:10" s="21" customFormat="1">
      <c r="A48" s="37"/>
      <c r="F48" s="3"/>
      <c r="G48" s="3"/>
      <c r="H48" s="3"/>
      <c r="I48" s="3"/>
      <c r="J48" s="3"/>
    </row>
    <row r="49" spans="1:10" s="21" customFormat="1">
      <c r="A49" s="37"/>
      <c r="F49" s="3"/>
      <c r="G49" s="3"/>
      <c r="H49" s="3"/>
      <c r="I49" s="3"/>
      <c r="J49" s="3"/>
    </row>
    <row r="50" spans="1:10" s="21" customFormat="1">
      <c r="A50" s="37"/>
      <c r="F50" s="3"/>
      <c r="G50" s="3"/>
      <c r="H50" s="3"/>
      <c r="I50" s="3"/>
      <c r="J50" s="3"/>
    </row>
    <row r="51" spans="1:10" s="21" customFormat="1">
      <c r="A51" s="37"/>
      <c r="F51" s="3"/>
      <c r="G51" s="3"/>
      <c r="H51" s="3"/>
      <c r="I51" s="3"/>
      <c r="J51" s="3"/>
    </row>
    <row r="52" spans="1:10" s="21" customFormat="1">
      <c r="A52" s="37"/>
      <c r="F52" s="3"/>
      <c r="G52" s="3"/>
      <c r="H52" s="3"/>
      <c r="I52" s="3"/>
      <c r="J52" s="3"/>
    </row>
    <row r="53" spans="1:10" s="21" customFormat="1">
      <c r="A53" s="37"/>
      <c r="F53" s="3"/>
      <c r="G53" s="3"/>
      <c r="H53" s="3"/>
      <c r="I53" s="3"/>
      <c r="J53" s="3"/>
    </row>
    <row r="54" spans="1:10" s="21" customFormat="1">
      <c r="A54" s="37"/>
      <c r="F54" s="3"/>
      <c r="G54" s="3"/>
      <c r="H54" s="3"/>
      <c r="I54" s="3"/>
      <c r="J54" s="3"/>
    </row>
    <row r="55" spans="1:10" s="21" customFormat="1">
      <c r="A55" s="37"/>
      <c r="F55" s="3"/>
      <c r="G55" s="3"/>
      <c r="H55" s="3"/>
      <c r="I55" s="3"/>
      <c r="J55" s="3"/>
    </row>
    <row r="56" spans="1:10" s="21" customFormat="1">
      <c r="A56" s="37"/>
      <c r="F56" s="3"/>
      <c r="G56" s="3"/>
      <c r="H56" s="3"/>
      <c r="I56" s="3"/>
      <c r="J56" s="3"/>
    </row>
    <row r="57" spans="1:10" s="21" customFormat="1">
      <c r="A57" s="37"/>
      <c r="F57" s="3"/>
      <c r="G57" s="3"/>
      <c r="H57" s="3"/>
      <c r="I57" s="3"/>
      <c r="J57" s="3"/>
    </row>
    <row r="58" spans="1:10" s="21" customFormat="1">
      <c r="A58" s="37"/>
      <c r="F58" s="3"/>
      <c r="G58" s="3"/>
      <c r="H58" s="3"/>
      <c r="I58" s="3"/>
      <c r="J58" s="3"/>
    </row>
    <row r="59" spans="1:10" s="21" customFormat="1">
      <c r="A59" s="37"/>
      <c r="F59" s="3"/>
      <c r="G59" s="3"/>
      <c r="H59" s="3"/>
      <c r="I59" s="3"/>
      <c r="J59" s="3"/>
    </row>
    <row r="60" spans="1:10" s="21" customFormat="1">
      <c r="A60" s="37"/>
      <c r="F60" s="3"/>
      <c r="G60" s="3"/>
      <c r="H60" s="3"/>
      <c r="I60" s="3"/>
      <c r="J60" s="3"/>
    </row>
    <row r="61" spans="1:10" s="21" customFormat="1">
      <c r="A61" s="37"/>
      <c r="F61" s="3"/>
      <c r="G61" s="3"/>
      <c r="H61" s="3"/>
      <c r="I61" s="3"/>
      <c r="J61" s="3"/>
    </row>
    <row r="62" spans="1:10" s="21" customFormat="1">
      <c r="A62" s="37"/>
      <c r="F62" s="3"/>
      <c r="G62" s="3"/>
      <c r="H62" s="3"/>
      <c r="I62" s="3"/>
      <c r="J62" s="3"/>
    </row>
    <row r="63" spans="1:10" s="21" customFormat="1">
      <c r="A63" s="37"/>
      <c r="F63" s="3"/>
      <c r="G63" s="3"/>
      <c r="H63" s="3"/>
      <c r="I63" s="3"/>
      <c r="J63" s="3"/>
    </row>
    <row r="64" spans="1:10" s="21" customFormat="1">
      <c r="A64" s="37"/>
      <c r="F64" s="3"/>
      <c r="G64" s="3"/>
      <c r="H64" s="3"/>
      <c r="I64" s="3"/>
      <c r="J64" s="3"/>
    </row>
    <row r="65" spans="1:10" s="21" customFormat="1">
      <c r="A65" s="37"/>
      <c r="F65" s="3"/>
      <c r="G65" s="3"/>
      <c r="H65" s="3"/>
      <c r="I65" s="3"/>
      <c r="J65" s="3"/>
    </row>
    <row r="66" spans="1:10" s="21" customFormat="1">
      <c r="A66" s="37"/>
      <c r="F66" s="3"/>
      <c r="G66" s="3"/>
      <c r="H66" s="3"/>
      <c r="I66" s="3"/>
      <c r="J66" s="3"/>
    </row>
    <row r="67" spans="1:10" s="21" customFormat="1">
      <c r="A67" s="37"/>
      <c r="F67" s="3"/>
      <c r="G67" s="3"/>
      <c r="H67" s="3"/>
      <c r="I67" s="3"/>
      <c r="J67" s="3"/>
    </row>
    <row r="68" spans="1:10" s="21" customFormat="1">
      <c r="A68" s="37"/>
      <c r="F68" s="3"/>
      <c r="G68" s="3"/>
      <c r="H68" s="3"/>
      <c r="I68" s="3"/>
      <c r="J68" s="3"/>
    </row>
    <row r="69" spans="1:10" s="21" customFormat="1">
      <c r="A69" s="37"/>
      <c r="F69" s="3"/>
      <c r="G69" s="3"/>
      <c r="H69" s="3"/>
      <c r="I69" s="3"/>
      <c r="J69" s="3"/>
    </row>
    <row r="70" spans="1:10" s="21" customFormat="1">
      <c r="A70" s="37"/>
      <c r="F70" s="3"/>
      <c r="G70" s="3"/>
      <c r="H70" s="3"/>
      <c r="I70" s="3"/>
      <c r="J70" s="3"/>
    </row>
    <row r="71" spans="1:10" s="21" customFormat="1">
      <c r="A71" s="37"/>
      <c r="F71" s="3"/>
      <c r="G71" s="3"/>
      <c r="H71" s="3"/>
      <c r="I71" s="3"/>
      <c r="J71" s="3"/>
    </row>
    <row r="72" spans="1:10" s="21" customFormat="1">
      <c r="A72" s="37"/>
      <c r="F72" s="3"/>
      <c r="G72" s="3"/>
      <c r="H72" s="3"/>
      <c r="I72" s="3"/>
      <c r="J72" s="3"/>
    </row>
    <row r="73" spans="1:10" s="21" customFormat="1">
      <c r="A73" s="37"/>
      <c r="F73" s="3"/>
      <c r="G73" s="3"/>
      <c r="H73" s="3"/>
      <c r="I73" s="3"/>
      <c r="J73" s="3"/>
    </row>
    <row r="74" spans="1:10" s="21" customFormat="1">
      <c r="A74" s="37"/>
      <c r="F74" s="3"/>
      <c r="G74" s="3"/>
      <c r="H74" s="3"/>
      <c r="I74" s="3"/>
      <c r="J74" s="3"/>
    </row>
    <row r="75" spans="1:10" s="21" customFormat="1">
      <c r="A75" s="37"/>
      <c r="F75" s="3"/>
      <c r="G75" s="3"/>
      <c r="H75" s="3"/>
      <c r="I75" s="3"/>
      <c r="J75" s="3"/>
    </row>
    <row r="76" spans="1:10" s="21" customFormat="1">
      <c r="A76" s="37"/>
      <c r="F76" s="3"/>
      <c r="G76" s="3"/>
      <c r="H76" s="3"/>
      <c r="I76" s="3"/>
      <c r="J76" s="3"/>
    </row>
    <row r="77" spans="1:10" s="21" customFormat="1">
      <c r="A77" s="37"/>
      <c r="F77" s="3"/>
      <c r="G77" s="3"/>
      <c r="H77" s="3"/>
      <c r="I77" s="3"/>
      <c r="J77" s="3"/>
    </row>
    <row r="78" spans="1:10" s="21" customFormat="1">
      <c r="A78" s="37"/>
      <c r="F78" s="3"/>
      <c r="G78" s="3"/>
      <c r="H78" s="3"/>
      <c r="I78" s="3"/>
      <c r="J78" s="3"/>
    </row>
    <row r="79" spans="1:10" s="21" customFormat="1">
      <c r="A79" s="37"/>
      <c r="F79" s="3"/>
      <c r="G79" s="3"/>
      <c r="H79" s="3"/>
      <c r="I79" s="3"/>
      <c r="J79" s="3"/>
    </row>
    <row r="80" spans="1:10" s="21" customFormat="1">
      <c r="A80" s="37"/>
      <c r="F80" s="3"/>
      <c r="G80" s="3"/>
      <c r="H80" s="3"/>
      <c r="I80" s="3"/>
      <c r="J80" s="3"/>
    </row>
    <row r="81" spans="1:10" s="21" customFormat="1">
      <c r="A81" s="37"/>
      <c r="F81" s="3"/>
      <c r="G81" s="3"/>
      <c r="H81" s="3"/>
      <c r="I81" s="3"/>
      <c r="J81" s="3"/>
    </row>
    <row r="82" spans="1:10" s="21" customFormat="1">
      <c r="A82" s="37"/>
      <c r="F82" s="3"/>
      <c r="G82" s="3"/>
      <c r="H82" s="3"/>
      <c r="I82" s="3"/>
      <c r="J82" s="3"/>
    </row>
    <row r="83" spans="1:10" s="21" customFormat="1">
      <c r="A83" s="37"/>
      <c r="F83" s="3"/>
      <c r="G83" s="3"/>
      <c r="H83" s="3"/>
      <c r="I83" s="3"/>
      <c r="J83" s="3"/>
    </row>
    <row r="84" spans="1:10" s="21" customFormat="1">
      <c r="A84" s="37"/>
      <c r="F84" s="3"/>
      <c r="G84" s="3"/>
      <c r="H84" s="3"/>
      <c r="I84" s="3"/>
      <c r="J84" s="3"/>
    </row>
    <row r="85" spans="1:10" s="21" customFormat="1">
      <c r="A85" s="37"/>
      <c r="F85" s="3"/>
      <c r="G85" s="3"/>
      <c r="H85" s="3"/>
      <c r="I85" s="3"/>
      <c r="J85" s="3"/>
    </row>
    <row r="86" spans="1:10" s="21" customFormat="1">
      <c r="A86" s="37"/>
      <c r="F86" s="3"/>
      <c r="G86" s="3"/>
      <c r="H86" s="3"/>
      <c r="I86" s="3"/>
      <c r="J86" s="3"/>
    </row>
    <row r="87" spans="1:10" s="21" customFormat="1">
      <c r="A87" s="37"/>
      <c r="F87" s="3"/>
      <c r="G87" s="3"/>
      <c r="H87" s="3"/>
      <c r="I87" s="3"/>
      <c r="J87" s="3"/>
    </row>
    <row r="88" spans="1:10" s="21" customFormat="1">
      <c r="A88" s="37"/>
      <c r="F88" s="3"/>
      <c r="G88" s="3"/>
      <c r="H88" s="3"/>
      <c r="I88" s="3"/>
      <c r="J88" s="3"/>
    </row>
    <row r="89" spans="1:10" s="21" customFormat="1">
      <c r="A89" s="37"/>
      <c r="F89" s="3"/>
      <c r="G89" s="3"/>
      <c r="H89" s="3"/>
      <c r="I89" s="3"/>
      <c r="J89" s="3"/>
    </row>
    <row r="90" spans="1:10" s="21" customFormat="1">
      <c r="A90" s="37"/>
      <c r="F90" s="3"/>
      <c r="G90" s="3"/>
      <c r="H90" s="3"/>
      <c r="I90" s="3"/>
      <c r="J90" s="3"/>
    </row>
    <row r="91" spans="1:10" s="21" customFormat="1">
      <c r="A91" s="37"/>
      <c r="F91" s="3"/>
      <c r="G91" s="3"/>
      <c r="H91" s="3"/>
      <c r="I91" s="3"/>
      <c r="J91" s="3"/>
    </row>
    <row r="92" spans="1:10" s="21" customFormat="1">
      <c r="A92" s="37"/>
      <c r="F92" s="3"/>
      <c r="G92" s="3"/>
      <c r="H92" s="3"/>
      <c r="I92" s="3"/>
      <c r="J92" s="3"/>
    </row>
    <row r="93" spans="1:10" s="21" customFormat="1">
      <c r="A93" s="37"/>
      <c r="F93" s="3"/>
      <c r="G93" s="3"/>
      <c r="H93" s="3"/>
      <c r="I93" s="3"/>
      <c r="J93" s="3"/>
    </row>
    <row r="94" spans="1:10" s="21" customFormat="1">
      <c r="A94" s="37"/>
      <c r="F94" s="3"/>
      <c r="G94" s="3"/>
      <c r="H94" s="3"/>
      <c r="I94" s="3"/>
      <c r="J94" s="3"/>
    </row>
    <row r="95" spans="1:10" s="21" customFormat="1">
      <c r="A95" s="37"/>
      <c r="F95" s="3"/>
      <c r="G95" s="3"/>
      <c r="H95" s="3"/>
      <c r="I95" s="3"/>
      <c r="J95" s="3"/>
    </row>
    <row r="96" spans="1:10" s="21" customFormat="1">
      <c r="A96" s="37"/>
      <c r="F96" s="3"/>
      <c r="G96" s="3"/>
      <c r="H96" s="3"/>
      <c r="I96" s="3"/>
      <c r="J96" s="3"/>
    </row>
    <row r="97" spans="1:10" s="21" customFormat="1">
      <c r="A97" s="37"/>
      <c r="F97" s="3"/>
      <c r="G97" s="3"/>
      <c r="H97" s="3"/>
      <c r="I97" s="3"/>
      <c r="J97" s="3"/>
    </row>
    <row r="98" spans="1:10" s="21" customFormat="1">
      <c r="A98" s="37"/>
      <c r="F98" s="3"/>
      <c r="G98" s="3"/>
      <c r="H98" s="3"/>
      <c r="I98" s="3"/>
      <c r="J98" s="3"/>
    </row>
    <row r="99" spans="1:10" s="21" customFormat="1">
      <c r="A99" s="37"/>
      <c r="F99" s="3"/>
      <c r="G99" s="3"/>
      <c r="H99" s="3"/>
      <c r="I99" s="3"/>
      <c r="J99" s="3"/>
    </row>
    <row r="100" spans="1:10" s="21" customFormat="1">
      <c r="A100" s="37"/>
      <c r="F100" s="3"/>
      <c r="G100" s="3"/>
      <c r="H100" s="3"/>
      <c r="I100" s="3"/>
      <c r="J100" s="3"/>
    </row>
    <row r="101" spans="1:10" s="21" customFormat="1">
      <c r="A101" s="37"/>
      <c r="F101" s="3"/>
      <c r="G101" s="3"/>
      <c r="H101" s="3"/>
      <c r="I101" s="3"/>
      <c r="J101" s="3"/>
    </row>
    <row r="102" spans="1:10" s="21" customFormat="1">
      <c r="A102" s="37"/>
      <c r="F102" s="3"/>
      <c r="G102" s="3"/>
      <c r="H102" s="3"/>
      <c r="I102" s="3"/>
      <c r="J102" s="3"/>
    </row>
    <row r="103" spans="1:10" s="21" customFormat="1">
      <c r="A103" s="37"/>
      <c r="F103" s="3"/>
      <c r="G103" s="3"/>
      <c r="H103" s="3"/>
      <c r="I103" s="3"/>
      <c r="J103" s="3"/>
    </row>
    <row r="104" spans="1:10" s="21" customFormat="1">
      <c r="A104" s="37"/>
      <c r="F104" s="3"/>
      <c r="G104" s="3"/>
      <c r="H104" s="3"/>
      <c r="I104" s="3"/>
      <c r="J104" s="3"/>
    </row>
    <row r="105" spans="1:10" s="21" customFormat="1">
      <c r="A105" s="37"/>
      <c r="F105" s="3"/>
      <c r="G105" s="3"/>
      <c r="H105" s="3"/>
      <c r="I105" s="3"/>
      <c r="J105" s="3"/>
    </row>
    <row r="106" spans="1:10" s="21" customFormat="1">
      <c r="A106" s="37"/>
      <c r="F106" s="3"/>
      <c r="G106" s="3"/>
      <c r="H106" s="3"/>
      <c r="I106" s="3"/>
      <c r="J106" s="3"/>
    </row>
    <row r="107" spans="1:10" s="21" customFormat="1">
      <c r="A107" s="37"/>
      <c r="F107" s="3"/>
      <c r="G107" s="3"/>
      <c r="H107" s="3"/>
      <c r="I107" s="3"/>
      <c r="J107" s="3"/>
    </row>
    <row r="108" spans="1:10" s="21" customFormat="1">
      <c r="A108" s="37"/>
      <c r="F108" s="3"/>
      <c r="G108" s="3"/>
      <c r="H108" s="3"/>
      <c r="I108" s="3"/>
      <c r="J108" s="3"/>
    </row>
    <row r="109" spans="1:10" s="21" customFormat="1">
      <c r="A109" s="37"/>
      <c r="F109" s="3"/>
      <c r="G109" s="3"/>
      <c r="H109" s="3"/>
      <c r="I109" s="3"/>
      <c r="J109" s="3"/>
    </row>
    <row r="110" spans="1:10" s="21" customFormat="1">
      <c r="A110" s="37"/>
      <c r="F110" s="3"/>
      <c r="G110" s="3"/>
      <c r="H110" s="3"/>
      <c r="I110" s="3"/>
      <c r="J110" s="3"/>
    </row>
    <row r="111" spans="1:10" s="21" customFormat="1">
      <c r="A111" s="37"/>
      <c r="F111" s="3"/>
      <c r="G111" s="3"/>
      <c r="H111" s="3"/>
      <c r="I111" s="3"/>
      <c r="J111" s="3"/>
    </row>
    <row r="112" spans="1:10" s="21" customFormat="1">
      <c r="A112" s="37"/>
      <c r="F112" s="3"/>
      <c r="G112" s="3"/>
      <c r="H112" s="3"/>
      <c r="I112" s="3"/>
      <c r="J112" s="3"/>
    </row>
    <row r="113" spans="1:10" s="21" customFormat="1">
      <c r="A113" s="37"/>
      <c r="F113" s="3"/>
      <c r="G113" s="3"/>
      <c r="H113" s="3"/>
      <c r="I113" s="3"/>
      <c r="J113" s="3"/>
    </row>
    <row r="114" spans="1:10" s="21" customFormat="1">
      <c r="A114" s="37"/>
      <c r="F114" s="3"/>
      <c r="G114" s="3"/>
      <c r="H114" s="3"/>
      <c r="I114" s="3"/>
      <c r="J114" s="3"/>
    </row>
    <row r="115" spans="1:10" s="21" customFormat="1">
      <c r="A115" s="37"/>
      <c r="F115" s="3"/>
      <c r="G115" s="3"/>
      <c r="H115" s="3"/>
      <c r="I115" s="3"/>
      <c r="J115" s="3"/>
    </row>
    <row r="116" spans="1:10" s="21" customFormat="1">
      <c r="A116" s="37"/>
      <c r="F116" s="3"/>
      <c r="G116" s="3"/>
      <c r="H116" s="3"/>
      <c r="I116" s="3"/>
      <c r="J116" s="3"/>
    </row>
    <row r="117" spans="1:10" s="21" customFormat="1">
      <c r="A117" s="37"/>
      <c r="F117" s="3"/>
      <c r="G117" s="3"/>
      <c r="H117" s="3"/>
      <c r="I117" s="3"/>
      <c r="J117" s="3"/>
    </row>
    <row r="118" spans="1:10" s="21" customFormat="1">
      <c r="A118" s="37"/>
      <c r="F118" s="3"/>
      <c r="G118" s="3"/>
      <c r="H118" s="3"/>
      <c r="I118" s="3"/>
      <c r="J118" s="3"/>
    </row>
    <row r="119" spans="1:10" s="21" customFormat="1">
      <c r="A119" s="37"/>
      <c r="F119" s="3"/>
      <c r="G119" s="3"/>
      <c r="H119" s="3"/>
      <c r="I119" s="3"/>
      <c r="J119" s="3"/>
    </row>
    <row r="120" spans="1:10" s="21" customFormat="1">
      <c r="A120" s="37"/>
      <c r="F120" s="3"/>
      <c r="G120" s="3"/>
      <c r="H120" s="3"/>
      <c r="I120" s="3"/>
      <c r="J120" s="3"/>
    </row>
    <row r="121" spans="1:10" s="21" customFormat="1">
      <c r="A121" s="37"/>
      <c r="F121" s="3"/>
      <c r="G121" s="3"/>
      <c r="H121" s="3"/>
      <c r="I121" s="3"/>
      <c r="J121" s="3"/>
    </row>
    <row r="122" spans="1:10" s="21" customFormat="1">
      <c r="A122" s="37"/>
      <c r="F122" s="3"/>
      <c r="G122" s="3"/>
      <c r="H122" s="3"/>
      <c r="I122" s="3"/>
      <c r="J122" s="3"/>
    </row>
    <row r="123" spans="1:10" s="21" customFormat="1">
      <c r="A123" s="37"/>
      <c r="F123" s="3"/>
      <c r="G123" s="3"/>
      <c r="H123" s="3"/>
      <c r="I123" s="3"/>
      <c r="J123" s="3"/>
    </row>
    <row r="124" spans="1:10" s="21" customFormat="1">
      <c r="A124" s="37"/>
      <c r="F124" s="3"/>
      <c r="G124" s="3"/>
      <c r="H124" s="3"/>
      <c r="I124" s="3"/>
      <c r="J124" s="3"/>
    </row>
    <row r="125" spans="1:10" s="21" customFormat="1">
      <c r="A125" s="37"/>
      <c r="F125" s="3"/>
      <c r="G125" s="3"/>
      <c r="H125" s="3"/>
      <c r="I125" s="3"/>
      <c r="J125" s="3"/>
    </row>
    <row r="126" spans="1:10" s="21" customFormat="1">
      <c r="A126" s="37"/>
      <c r="F126" s="3"/>
      <c r="G126" s="3"/>
      <c r="H126" s="3"/>
      <c r="I126" s="3"/>
      <c r="J126" s="3"/>
    </row>
    <row r="127" spans="1:10" s="21" customFormat="1">
      <c r="A127" s="37"/>
      <c r="F127" s="3"/>
      <c r="G127" s="3"/>
      <c r="H127" s="3"/>
      <c r="I127" s="3"/>
      <c r="J127" s="3"/>
    </row>
    <row r="128" spans="1:10" s="21" customFormat="1">
      <c r="A128" s="37"/>
      <c r="F128" s="3"/>
      <c r="G128" s="3"/>
      <c r="H128" s="3"/>
      <c r="I128" s="3"/>
      <c r="J128" s="3"/>
    </row>
    <row r="129" spans="1:10" s="21" customFormat="1">
      <c r="A129" s="37"/>
      <c r="F129" s="3"/>
      <c r="G129" s="3"/>
      <c r="H129" s="3"/>
      <c r="I129" s="3"/>
      <c r="J129" s="3"/>
    </row>
    <row r="130" spans="1:10" s="21" customFormat="1">
      <c r="A130" s="37"/>
      <c r="F130" s="3"/>
      <c r="G130" s="3"/>
      <c r="H130" s="3"/>
      <c r="I130" s="3"/>
      <c r="J130" s="3"/>
    </row>
    <row r="131" spans="1:10" s="21" customFormat="1">
      <c r="A131" s="37"/>
      <c r="F131" s="3"/>
      <c r="G131" s="3"/>
      <c r="H131" s="3"/>
      <c r="I131" s="3"/>
      <c r="J131" s="3"/>
    </row>
    <row r="132" spans="1:10" s="21" customFormat="1">
      <c r="A132" s="37"/>
      <c r="F132" s="3"/>
      <c r="G132" s="3"/>
      <c r="H132" s="3"/>
      <c r="I132" s="3"/>
      <c r="J132" s="3"/>
    </row>
    <row r="133" spans="1:10" s="21" customFormat="1">
      <c r="A133" s="37"/>
      <c r="F133" s="3"/>
      <c r="G133" s="3"/>
      <c r="H133" s="3"/>
      <c r="I133" s="3"/>
      <c r="J133" s="3"/>
    </row>
    <row r="134" spans="1:10" s="21" customFormat="1">
      <c r="A134" s="37"/>
      <c r="F134" s="3"/>
      <c r="G134" s="3"/>
      <c r="H134" s="3"/>
      <c r="I134" s="3"/>
      <c r="J134" s="3"/>
    </row>
    <row r="135" spans="1:10" s="21" customFormat="1">
      <c r="A135" s="37"/>
      <c r="F135" s="3"/>
      <c r="G135" s="3"/>
      <c r="H135" s="3"/>
      <c r="I135" s="3"/>
      <c r="J135" s="3"/>
    </row>
    <row r="136" spans="1:10" s="21" customFormat="1">
      <c r="A136" s="37"/>
      <c r="F136" s="3"/>
      <c r="G136" s="3"/>
      <c r="H136" s="3"/>
      <c r="I136" s="3"/>
      <c r="J136" s="3"/>
    </row>
    <row r="137" spans="1:10" s="21" customFormat="1">
      <c r="A137" s="37"/>
      <c r="F137" s="3"/>
      <c r="G137" s="3"/>
      <c r="H137" s="3"/>
      <c r="I137" s="3"/>
      <c r="J137" s="3"/>
    </row>
    <row r="138" spans="1:10" s="21" customFormat="1">
      <c r="A138" s="37"/>
      <c r="F138" s="3"/>
      <c r="G138" s="3"/>
      <c r="H138" s="3"/>
      <c r="I138" s="3"/>
      <c r="J138" s="3"/>
    </row>
    <row r="139" spans="1:10" s="21" customFormat="1">
      <c r="A139" s="37"/>
      <c r="F139" s="3"/>
      <c r="G139" s="3"/>
      <c r="H139" s="3"/>
      <c r="I139" s="3"/>
      <c r="J139" s="3"/>
    </row>
    <row r="140" spans="1:10" s="21" customFormat="1">
      <c r="A140" s="37"/>
      <c r="F140" s="3"/>
      <c r="G140" s="3"/>
      <c r="H140" s="3"/>
      <c r="I140" s="3"/>
      <c r="J140" s="3"/>
    </row>
    <row r="141" spans="1:10" s="21" customFormat="1">
      <c r="A141" s="37"/>
      <c r="F141" s="3"/>
      <c r="G141" s="3"/>
      <c r="H141" s="3"/>
      <c r="I141" s="3"/>
      <c r="J141" s="3"/>
    </row>
    <row r="142" spans="1:10" s="21" customFormat="1">
      <c r="A142" s="37"/>
      <c r="F142" s="3"/>
      <c r="G142" s="3"/>
      <c r="H142" s="3"/>
      <c r="I142" s="3"/>
      <c r="J142" s="3"/>
    </row>
    <row r="143" spans="1:10" s="21" customFormat="1">
      <c r="A143" s="37"/>
      <c r="F143" s="3"/>
      <c r="G143" s="3"/>
      <c r="H143" s="3"/>
      <c r="I143" s="3"/>
      <c r="J143" s="3"/>
    </row>
    <row r="144" spans="1:10" s="21" customFormat="1">
      <c r="A144" s="37"/>
      <c r="F144" s="3"/>
      <c r="G144" s="3"/>
      <c r="H144" s="3"/>
      <c r="I144" s="3"/>
      <c r="J144" s="3"/>
    </row>
    <row r="145" spans="1:10" s="21" customFormat="1">
      <c r="A145" s="37"/>
      <c r="F145" s="3"/>
      <c r="G145" s="3"/>
      <c r="H145" s="3"/>
      <c r="I145" s="3"/>
      <c r="J145" s="3"/>
    </row>
    <row r="146" spans="1:10" s="21" customFormat="1">
      <c r="A146" s="37"/>
      <c r="F146" s="3"/>
      <c r="G146" s="3"/>
      <c r="H146" s="3"/>
      <c r="I146" s="3"/>
      <c r="J146" s="3"/>
    </row>
    <row r="147" spans="1:10" s="21" customFormat="1">
      <c r="A147" s="37"/>
      <c r="F147" s="3"/>
      <c r="G147" s="3"/>
      <c r="H147" s="3"/>
      <c r="I147" s="3"/>
      <c r="J147" s="3"/>
    </row>
    <row r="148" spans="1:10" s="21" customFormat="1">
      <c r="A148" s="37"/>
      <c r="F148" s="3"/>
      <c r="G148" s="3"/>
      <c r="H148" s="3"/>
      <c r="I148" s="3"/>
      <c r="J148" s="3"/>
    </row>
    <row r="149" spans="1:10" s="21" customFormat="1">
      <c r="A149" s="37"/>
      <c r="F149" s="3"/>
      <c r="G149" s="3"/>
      <c r="H149" s="3"/>
      <c r="I149" s="3"/>
      <c r="J149" s="3"/>
    </row>
    <row r="150" spans="1:10" s="21" customFormat="1">
      <c r="A150" s="37"/>
      <c r="F150" s="3"/>
      <c r="G150" s="3"/>
      <c r="H150" s="3"/>
      <c r="I150" s="3"/>
      <c r="J150" s="3"/>
    </row>
    <row r="151" spans="1:10" s="21" customFormat="1">
      <c r="A151" s="37"/>
      <c r="F151" s="3"/>
      <c r="G151" s="3"/>
      <c r="H151" s="3"/>
      <c r="I151" s="3"/>
      <c r="J151" s="3"/>
    </row>
    <row r="152" spans="1:10" s="21" customFormat="1">
      <c r="A152" s="37"/>
      <c r="F152" s="3"/>
      <c r="G152" s="3"/>
      <c r="H152" s="3"/>
      <c r="I152" s="3"/>
      <c r="J152" s="3"/>
    </row>
    <row r="153" spans="1:10" s="21" customFormat="1">
      <c r="A153" s="37"/>
      <c r="F153" s="3"/>
      <c r="G153" s="3"/>
      <c r="H153" s="3"/>
      <c r="I153" s="3"/>
      <c r="J153" s="3"/>
    </row>
    <row r="154" spans="1:10" s="21" customFormat="1">
      <c r="A154" s="37"/>
      <c r="F154" s="3"/>
      <c r="G154" s="3"/>
      <c r="H154" s="3"/>
      <c r="I154" s="3"/>
      <c r="J154" s="3"/>
    </row>
    <row r="155" spans="1:10" s="21" customFormat="1">
      <c r="A155" s="37"/>
      <c r="F155" s="3"/>
      <c r="G155" s="3"/>
      <c r="H155" s="3"/>
      <c r="I155" s="3"/>
      <c r="J155" s="3"/>
    </row>
    <row r="156" spans="1:10" s="21" customFormat="1">
      <c r="A156" s="37"/>
      <c r="F156" s="3"/>
      <c r="G156" s="3"/>
      <c r="H156" s="3"/>
      <c r="I156" s="3"/>
      <c r="J156" s="3"/>
    </row>
    <row r="157" spans="1:10" s="21" customFormat="1">
      <c r="A157" s="37"/>
      <c r="F157" s="3"/>
      <c r="G157" s="3"/>
      <c r="H157" s="3"/>
      <c r="I157" s="3"/>
      <c r="J157" s="3"/>
    </row>
    <row r="158" spans="1:10" s="21" customFormat="1">
      <c r="A158" s="37"/>
      <c r="F158" s="3"/>
      <c r="G158" s="3"/>
      <c r="H158" s="3"/>
      <c r="I158" s="3"/>
      <c r="J158" s="3"/>
    </row>
    <row r="159" spans="1:10" s="21" customFormat="1">
      <c r="A159" s="37"/>
      <c r="F159" s="3"/>
      <c r="G159" s="3"/>
      <c r="H159" s="3"/>
      <c r="I159" s="3"/>
      <c r="J159" s="3"/>
    </row>
    <row r="160" spans="1:10" s="21" customFormat="1">
      <c r="A160" s="37"/>
      <c r="F160" s="3"/>
      <c r="G160" s="3"/>
      <c r="H160" s="3"/>
      <c r="I160" s="3"/>
      <c r="J160" s="3"/>
    </row>
    <row r="161" spans="1:10" s="21" customFormat="1">
      <c r="A161" s="37"/>
      <c r="F161" s="3"/>
      <c r="G161" s="3"/>
      <c r="H161" s="3"/>
      <c r="I161" s="3"/>
      <c r="J161" s="3"/>
    </row>
    <row r="162" spans="1:10" s="21" customFormat="1">
      <c r="A162" s="37"/>
      <c r="F162" s="3"/>
      <c r="G162" s="3"/>
      <c r="H162" s="3"/>
      <c r="I162" s="3"/>
      <c r="J162" s="3"/>
    </row>
    <row r="163" spans="1:10" s="21" customFormat="1">
      <c r="A163" s="37"/>
      <c r="F163" s="3"/>
      <c r="G163" s="3"/>
      <c r="H163" s="3"/>
      <c r="I163" s="3"/>
      <c r="J163" s="3"/>
    </row>
    <row r="164" spans="1:10" s="21" customFormat="1">
      <c r="A164" s="37"/>
      <c r="F164" s="3"/>
      <c r="G164" s="3"/>
      <c r="H164" s="3"/>
      <c r="I164" s="3"/>
      <c r="J164" s="3"/>
    </row>
    <row r="165" spans="1:10" s="21" customFormat="1">
      <c r="A165" s="37"/>
      <c r="F165" s="3"/>
      <c r="G165" s="3"/>
      <c r="H165" s="3"/>
      <c r="I165" s="3"/>
      <c r="J165" s="3"/>
    </row>
    <row r="166" spans="1:10" s="21" customFormat="1">
      <c r="A166" s="37"/>
      <c r="F166" s="3"/>
      <c r="G166" s="3"/>
      <c r="H166" s="3"/>
      <c r="I166" s="3"/>
      <c r="J166" s="3"/>
    </row>
    <row r="167" spans="1:10" s="21" customFormat="1">
      <c r="A167" s="37"/>
      <c r="F167" s="3"/>
      <c r="G167" s="3"/>
      <c r="H167" s="3"/>
      <c r="I167" s="3"/>
      <c r="J167" s="3"/>
    </row>
    <row r="168" spans="1:10" s="21" customFormat="1">
      <c r="A168" s="37"/>
      <c r="F168" s="3"/>
      <c r="G168" s="3"/>
      <c r="H168" s="3"/>
      <c r="I168" s="3"/>
      <c r="J168" s="3"/>
    </row>
    <row r="169" spans="1:10" s="21" customFormat="1">
      <c r="A169" s="37"/>
      <c r="F169" s="3"/>
      <c r="G169" s="3"/>
      <c r="H169" s="3"/>
      <c r="I169" s="3"/>
      <c r="J169" s="3"/>
    </row>
    <row r="170" spans="1:10" s="21" customFormat="1">
      <c r="A170" s="37"/>
      <c r="F170" s="3"/>
      <c r="G170" s="3"/>
      <c r="H170" s="3"/>
      <c r="I170" s="3"/>
      <c r="J170" s="3"/>
    </row>
    <row r="171" spans="1:10" s="21" customFormat="1">
      <c r="A171" s="37"/>
      <c r="F171" s="3"/>
      <c r="G171" s="3"/>
      <c r="H171" s="3"/>
      <c r="I171" s="3"/>
      <c r="J171" s="3"/>
    </row>
    <row r="172" spans="1:10" s="21" customFormat="1">
      <c r="A172" s="37"/>
      <c r="F172" s="3"/>
      <c r="G172" s="3"/>
      <c r="H172" s="3"/>
      <c r="I172" s="3"/>
      <c r="J172" s="3"/>
    </row>
    <row r="173" spans="1:10" s="21" customFormat="1">
      <c r="A173" s="37"/>
      <c r="F173" s="3"/>
      <c r="G173" s="3"/>
      <c r="H173" s="3"/>
      <c r="I173" s="3"/>
      <c r="J173" s="3"/>
    </row>
    <row r="174" spans="1:10" s="21" customFormat="1">
      <c r="A174" s="37"/>
      <c r="F174" s="3"/>
      <c r="G174" s="3"/>
      <c r="H174" s="3"/>
      <c r="I174" s="3"/>
      <c r="J174" s="3"/>
    </row>
    <row r="175" spans="1:10" s="21" customFormat="1">
      <c r="A175" s="37"/>
      <c r="F175" s="3"/>
      <c r="G175" s="3"/>
      <c r="H175" s="3"/>
      <c r="I175" s="3"/>
      <c r="J175" s="3"/>
    </row>
    <row r="176" spans="1:10" s="21" customFormat="1">
      <c r="A176" s="37"/>
      <c r="F176" s="3"/>
      <c r="G176" s="3"/>
      <c r="H176" s="3"/>
      <c r="I176" s="3"/>
      <c r="J176" s="3"/>
    </row>
    <row r="177" spans="1:10" s="21" customFormat="1">
      <c r="A177" s="37"/>
      <c r="F177" s="3"/>
      <c r="G177" s="3"/>
      <c r="H177" s="3"/>
      <c r="I177" s="3"/>
      <c r="J177" s="3"/>
    </row>
    <row r="178" spans="1:10" s="21" customFormat="1">
      <c r="A178" s="37"/>
      <c r="F178" s="3"/>
      <c r="G178" s="3"/>
      <c r="H178" s="3"/>
      <c r="I178" s="3"/>
      <c r="J178" s="3"/>
    </row>
    <row r="179" spans="1:10" s="21" customFormat="1">
      <c r="A179" s="37"/>
      <c r="F179" s="3"/>
      <c r="G179" s="3"/>
      <c r="H179" s="3"/>
      <c r="I179" s="3"/>
      <c r="J179" s="3"/>
    </row>
    <row r="180" spans="1:10" s="21" customFormat="1">
      <c r="A180" s="37"/>
      <c r="F180" s="3"/>
      <c r="G180" s="3"/>
      <c r="H180" s="3"/>
      <c r="I180" s="3"/>
      <c r="J180" s="3"/>
    </row>
    <row r="181" spans="1:10" s="21" customFormat="1">
      <c r="A181" s="37"/>
      <c r="F181" s="3"/>
      <c r="G181" s="3"/>
      <c r="H181" s="3"/>
      <c r="I181" s="3"/>
      <c r="J181" s="3"/>
    </row>
    <row r="182" spans="1:10" s="21" customFormat="1">
      <c r="A182" s="37"/>
      <c r="F182" s="3"/>
      <c r="G182" s="3"/>
      <c r="H182" s="3"/>
      <c r="I182" s="3"/>
      <c r="J182" s="3"/>
    </row>
    <row r="183" spans="1:10" s="21" customFormat="1">
      <c r="A183" s="37"/>
      <c r="F183" s="3"/>
      <c r="G183" s="3"/>
      <c r="H183" s="3"/>
      <c r="I183" s="3"/>
      <c r="J183" s="3"/>
    </row>
    <row r="184" spans="1:10" s="21" customFormat="1">
      <c r="A184" s="37"/>
      <c r="F184" s="3"/>
      <c r="G184" s="3"/>
      <c r="H184" s="3"/>
      <c r="I184" s="3"/>
      <c r="J184" s="3"/>
    </row>
    <row r="185" spans="1:10" s="21" customFormat="1">
      <c r="A185" s="37"/>
      <c r="F185" s="3"/>
      <c r="G185" s="3"/>
      <c r="H185" s="3"/>
      <c r="I185" s="3"/>
      <c r="J185" s="3"/>
    </row>
    <row r="186" spans="1:10" s="21" customFormat="1">
      <c r="A186" s="37"/>
      <c r="F186" s="3"/>
      <c r="G186" s="3"/>
      <c r="H186" s="3"/>
      <c r="I186" s="3"/>
      <c r="J186" s="3"/>
    </row>
    <row r="187" spans="1:10" s="21" customFormat="1">
      <c r="A187" s="37"/>
      <c r="F187" s="3"/>
      <c r="G187" s="3"/>
      <c r="H187" s="3"/>
      <c r="I187" s="3"/>
      <c r="J187" s="3"/>
    </row>
    <row r="188" spans="1:10" s="21" customFormat="1">
      <c r="A188" s="37"/>
      <c r="F188" s="3"/>
      <c r="G188" s="3"/>
      <c r="H188" s="3"/>
      <c r="I188" s="3"/>
      <c r="J188" s="3"/>
    </row>
    <row r="189" spans="1:10" s="21" customFormat="1">
      <c r="A189" s="37"/>
      <c r="F189" s="3"/>
      <c r="G189" s="3"/>
      <c r="H189" s="3"/>
      <c r="I189" s="3"/>
      <c r="J189" s="3"/>
    </row>
    <row r="190" spans="1:10" s="21" customFormat="1">
      <c r="A190" s="37"/>
      <c r="F190" s="3"/>
      <c r="G190" s="3"/>
      <c r="H190" s="3"/>
      <c r="I190" s="3"/>
      <c r="J190" s="3"/>
    </row>
    <row r="191" spans="1:10" s="21" customFormat="1">
      <c r="A191" s="37"/>
      <c r="F191" s="3"/>
      <c r="G191" s="3"/>
      <c r="H191" s="3"/>
      <c r="I191" s="3"/>
      <c r="J191" s="3"/>
    </row>
    <row r="192" spans="1:10" s="21" customFormat="1">
      <c r="A192" s="37"/>
      <c r="F192" s="3"/>
      <c r="G192" s="3"/>
      <c r="H192" s="3"/>
      <c r="I192" s="3"/>
      <c r="J192" s="3"/>
    </row>
    <row r="193" spans="1:10" s="21" customFormat="1">
      <c r="A193" s="37"/>
      <c r="F193" s="3"/>
      <c r="G193" s="3"/>
      <c r="H193" s="3"/>
      <c r="I193" s="3"/>
      <c r="J193" s="3"/>
    </row>
    <row r="194" spans="1:10" s="21" customFormat="1">
      <c r="A194" s="37"/>
      <c r="F194" s="3"/>
      <c r="G194" s="3"/>
      <c r="H194" s="3"/>
      <c r="I194" s="3"/>
      <c r="J194" s="3"/>
    </row>
    <row r="195" spans="1:10" s="21" customFormat="1">
      <c r="A195" s="37"/>
      <c r="F195" s="3"/>
      <c r="G195" s="3"/>
      <c r="H195" s="3"/>
      <c r="I195" s="3"/>
      <c r="J195" s="3"/>
    </row>
    <row r="196" spans="1:10" s="21" customFormat="1">
      <c r="A196" s="37"/>
      <c r="F196" s="3"/>
      <c r="G196" s="3"/>
      <c r="H196" s="3"/>
      <c r="I196" s="3"/>
      <c r="J196" s="3"/>
    </row>
    <row r="197" spans="1:10" s="21" customFormat="1">
      <c r="A197" s="37"/>
      <c r="F197" s="3"/>
      <c r="G197" s="3"/>
      <c r="H197" s="3"/>
      <c r="I197" s="3"/>
      <c r="J197" s="3"/>
    </row>
    <row r="198" spans="1:10" s="21" customFormat="1">
      <c r="A198" s="37"/>
      <c r="F198" s="3"/>
      <c r="G198" s="3"/>
      <c r="H198" s="3"/>
      <c r="I198" s="3"/>
      <c r="J198" s="3"/>
    </row>
    <row r="199" spans="1:10" s="21" customFormat="1">
      <c r="A199" s="37"/>
      <c r="F199" s="3"/>
      <c r="G199" s="3"/>
      <c r="H199" s="3"/>
      <c r="I199" s="3"/>
      <c r="J199" s="3"/>
    </row>
    <row r="200" spans="1:10" s="21" customFormat="1">
      <c r="A200" s="37"/>
      <c r="F200" s="3"/>
      <c r="G200" s="3"/>
      <c r="H200" s="3"/>
      <c r="I200" s="3"/>
      <c r="J200" s="3"/>
    </row>
    <row r="201" spans="1:10" s="21" customFormat="1">
      <c r="A201" s="37"/>
      <c r="F201" s="3"/>
      <c r="G201" s="3"/>
      <c r="H201" s="3"/>
      <c r="I201" s="3"/>
      <c r="J201" s="3"/>
    </row>
    <row r="202" spans="1:10" s="21" customFormat="1">
      <c r="A202" s="37"/>
      <c r="F202" s="3"/>
      <c r="G202" s="3"/>
      <c r="H202" s="3"/>
      <c r="I202" s="3"/>
      <c r="J202" s="3"/>
    </row>
    <row r="203" spans="1:10" s="21" customFormat="1">
      <c r="A203" s="37"/>
      <c r="F203" s="3"/>
      <c r="G203" s="3"/>
      <c r="H203" s="3"/>
      <c r="I203" s="3"/>
      <c r="J203" s="3"/>
    </row>
    <row r="204" spans="1:10" s="21" customFormat="1">
      <c r="A204" s="37"/>
      <c r="F204" s="3"/>
      <c r="G204" s="3"/>
      <c r="H204" s="3"/>
      <c r="I204" s="3"/>
      <c r="J204" s="3"/>
    </row>
    <row r="205" spans="1:10" s="21" customFormat="1">
      <c r="A205" s="37"/>
      <c r="F205" s="3"/>
      <c r="G205" s="3"/>
      <c r="H205" s="3"/>
      <c r="I205" s="3"/>
      <c r="J205" s="3"/>
    </row>
    <row r="206" spans="1:10" s="21" customFormat="1">
      <c r="A206" s="37"/>
      <c r="F206" s="3"/>
      <c r="G206" s="3"/>
      <c r="H206" s="3"/>
      <c r="I206" s="3"/>
      <c r="J206" s="3"/>
    </row>
    <row r="207" spans="1:10" s="21" customFormat="1">
      <c r="A207" s="37"/>
      <c r="F207" s="3"/>
      <c r="G207" s="3"/>
      <c r="H207" s="3"/>
      <c r="I207" s="3"/>
      <c r="J207" s="3"/>
    </row>
    <row r="208" spans="1:10" s="21" customFormat="1">
      <c r="A208" s="37"/>
      <c r="F208" s="3"/>
      <c r="G208" s="3"/>
      <c r="H208" s="3"/>
      <c r="I208" s="3"/>
      <c r="J208" s="3"/>
    </row>
    <row r="209" spans="1:10" s="21" customFormat="1">
      <c r="A209" s="37"/>
      <c r="F209" s="3"/>
      <c r="G209" s="3"/>
      <c r="H209" s="3"/>
      <c r="I209" s="3"/>
      <c r="J209" s="3"/>
    </row>
    <row r="210" spans="1:10" s="21" customFormat="1">
      <c r="A210" s="37"/>
      <c r="F210" s="3"/>
      <c r="G210" s="3"/>
      <c r="H210" s="3"/>
      <c r="I210" s="3"/>
      <c r="J210" s="3"/>
    </row>
    <row r="211" spans="1:10" s="21" customFormat="1">
      <c r="A211" s="37"/>
      <c r="F211" s="3"/>
      <c r="G211" s="3"/>
      <c r="H211" s="3"/>
      <c r="I211" s="3"/>
      <c r="J211" s="3"/>
    </row>
  </sheetData>
  <mergeCells count="19">
    <mergeCell ref="A3:J3"/>
    <mergeCell ref="A2:J2"/>
    <mergeCell ref="A4:J4"/>
    <mergeCell ref="A1:J1"/>
    <mergeCell ref="C42:F42"/>
    <mergeCell ref="H42:J42"/>
    <mergeCell ref="A5:A6"/>
    <mergeCell ref="B5:B6"/>
    <mergeCell ref="F5:F6"/>
    <mergeCell ref="G5:J5"/>
    <mergeCell ref="E5:E6"/>
    <mergeCell ref="C41:F41"/>
    <mergeCell ref="H41:J41"/>
    <mergeCell ref="A39:J39"/>
    <mergeCell ref="A8:J8"/>
    <mergeCell ref="C5:C6"/>
    <mergeCell ref="A32:J32"/>
    <mergeCell ref="A24:J24"/>
    <mergeCell ref="D5:D6"/>
  </mergeCells>
  <phoneticPr fontId="3" type="noConversion"/>
  <printOptions horizontalCentered="1"/>
  <pageMargins left="0.31496062992125984" right="0.11811023622047245" top="0.55118110236220474" bottom="0.15748031496062992" header="0.31496062992125984" footer="0.31496062992125984"/>
  <pageSetup paperSize="9" scale="62" orientation="portrait" verticalDpi="300" r:id="rId1"/>
  <headerFooter alignWithMargins="0">
    <oddHeader xml:space="preserve">&amp;C&amp;"Times New Roman,обычный"&amp;14&amp;R&amp;"Times New Roman,обычный"&amp;14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66"/>
  </sheetPr>
  <dimension ref="A1:S343"/>
  <sheetViews>
    <sheetView tabSelected="1" view="pageBreakPreview" topLeftCell="A104" zoomScale="75" zoomScaleNormal="75" zoomScaleSheetLayoutView="75" workbookViewId="0">
      <selection activeCell="G11" sqref="G11"/>
    </sheetView>
  </sheetViews>
  <sheetFormatPr defaultRowHeight="18.75" outlineLevelRow="1" outlineLevelCol="1"/>
  <cols>
    <col min="1" max="1" width="52.85546875" style="3" customWidth="1"/>
    <col min="2" max="2" width="9.140625" style="21" customWidth="1"/>
    <col min="3" max="3" width="11.140625" style="21" customWidth="1" outlineLevel="1"/>
    <col min="4" max="4" width="13.140625" style="21" customWidth="1" outlineLevel="1"/>
    <col min="5" max="5" width="13.7109375" style="21" customWidth="1" outlineLevel="1"/>
    <col min="6" max="6" width="12.28515625" style="3" customWidth="1"/>
    <col min="7" max="10" width="12.140625" style="3" customWidth="1"/>
    <col min="11" max="11" width="10.42578125" style="3" customWidth="1"/>
    <col min="12" max="12" width="11" style="3" bestFit="1" customWidth="1"/>
    <col min="13" max="13" width="10" style="3" bestFit="1" customWidth="1"/>
    <col min="14" max="14" width="10.7109375" style="3" customWidth="1"/>
    <col min="15" max="15" width="10.85546875" style="3" customWidth="1"/>
    <col min="16" max="16" width="12.42578125" style="3" customWidth="1"/>
    <col min="17" max="16384" width="9.140625" style="3"/>
  </cols>
  <sheetData>
    <row r="1" spans="1:16" ht="29.25" customHeight="1">
      <c r="A1" s="378" t="s">
        <v>185</v>
      </c>
      <c r="B1" s="378"/>
      <c r="C1" s="378"/>
      <c r="D1" s="378"/>
      <c r="E1" s="378"/>
      <c r="F1" s="378"/>
      <c r="G1" s="378"/>
      <c r="H1" s="378"/>
      <c r="I1" s="378"/>
      <c r="J1" s="378"/>
    </row>
    <row r="2" spans="1:16">
      <c r="A2" s="142"/>
      <c r="B2" s="70"/>
      <c r="C2" s="142"/>
      <c r="D2" s="142"/>
      <c r="E2" s="251"/>
      <c r="F2" s="142"/>
      <c r="G2" s="142"/>
      <c r="H2" s="142"/>
      <c r="I2" s="142"/>
      <c r="J2" s="142"/>
    </row>
    <row r="3" spans="1:16" ht="24.75" customHeight="1">
      <c r="A3" s="385" t="s">
        <v>182</v>
      </c>
      <c r="B3" s="384" t="s">
        <v>5</v>
      </c>
      <c r="C3" s="379" t="s">
        <v>369</v>
      </c>
      <c r="D3" s="386" t="s">
        <v>367</v>
      </c>
      <c r="E3" s="379" t="s">
        <v>359</v>
      </c>
      <c r="F3" s="390" t="s">
        <v>372</v>
      </c>
      <c r="G3" s="387" t="s">
        <v>264</v>
      </c>
      <c r="H3" s="387"/>
      <c r="I3" s="387"/>
      <c r="J3" s="387"/>
      <c r="K3" s="270"/>
      <c r="L3" s="270"/>
    </row>
    <row r="4" spans="1:16" ht="54" customHeight="1">
      <c r="A4" s="385"/>
      <c r="B4" s="384"/>
      <c r="C4" s="380"/>
      <c r="D4" s="386"/>
      <c r="E4" s="380"/>
      <c r="F4" s="391"/>
      <c r="G4" s="200" t="s">
        <v>144</v>
      </c>
      <c r="H4" s="200" t="s">
        <v>145</v>
      </c>
      <c r="I4" s="200" t="s">
        <v>146</v>
      </c>
      <c r="J4" s="200" t="s">
        <v>55</v>
      </c>
      <c r="K4" s="270"/>
    </row>
    <row r="5" spans="1:16" ht="18" customHeight="1">
      <c r="A5" s="108">
        <v>1</v>
      </c>
      <c r="B5" s="64">
        <v>2</v>
      </c>
      <c r="C5" s="64">
        <v>3</v>
      </c>
      <c r="D5" s="64">
        <v>4</v>
      </c>
      <c r="E5" s="298">
        <v>5</v>
      </c>
      <c r="F5" s="64">
        <v>6</v>
      </c>
      <c r="G5" s="64">
        <v>7</v>
      </c>
      <c r="H5" s="64">
        <v>8</v>
      </c>
      <c r="I5" s="64">
        <v>9</v>
      </c>
      <c r="J5" s="64">
        <v>10</v>
      </c>
    </row>
    <row r="6" spans="1:16" s="5" customFormat="1" ht="20.100000000000001" customHeight="1">
      <c r="A6" s="383" t="s">
        <v>222</v>
      </c>
      <c r="B6" s="383"/>
      <c r="C6" s="383"/>
      <c r="D6" s="383"/>
      <c r="E6" s="383"/>
      <c r="F6" s="383"/>
      <c r="G6" s="383"/>
      <c r="H6" s="383"/>
      <c r="I6" s="383"/>
      <c r="J6" s="383"/>
      <c r="K6" s="342"/>
      <c r="L6" s="342"/>
    </row>
    <row r="7" spans="1:16" s="5" customFormat="1" ht="39.75" customHeight="1">
      <c r="A7" s="213" t="s">
        <v>358</v>
      </c>
      <c r="B7" s="59">
        <v>1000</v>
      </c>
      <c r="C7" s="194">
        <f>C8+C9+C10</f>
        <v>15806.599999999999</v>
      </c>
      <c r="D7" s="194">
        <f>D8+D10</f>
        <v>15556.4</v>
      </c>
      <c r="E7" s="194">
        <f>E8+E10</f>
        <v>17965.8</v>
      </c>
      <c r="F7" s="310">
        <f>G7+H7+I7+J7</f>
        <v>22337.65</v>
      </c>
      <c r="G7" s="194">
        <f>G8+G10</f>
        <v>5151.3</v>
      </c>
      <c r="H7" s="194">
        <f>H8+H10</f>
        <v>5996.1</v>
      </c>
      <c r="I7" s="194">
        <f>I8+I10-0.05</f>
        <v>5527.05</v>
      </c>
      <c r="J7" s="194">
        <f>J8+J10-0.1</f>
        <v>5663.2</v>
      </c>
      <c r="K7" s="342"/>
      <c r="L7" s="342"/>
      <c r="N7" s="269"/>
      <c r="O7" s="269"/>
      <c r="P7" s="269"/>
    </row>
    <row r="8" spans="1:16" s="217" customFormat="1" ht="20.100000000000001" customHeight="1">
      <c r="A8" s="221" t="s">
        <v>225</v>
      </c>
      <c r="B8" s="216">
        <v>1010</v>
      </c>
      <c r="C8" s="93">
        <v>12045.4</v>
      </c>
      <c r="D8" s="93">
        <v>11000</v>
      </c>
      <c r="E8" s="93">
        <v>12829.9</v>
      </c>
      <c r="F8" s="311">
        <f>G8+H8+I8+J8</f>
        <v>13113.5</v>
      </c>
      <c r="G8" s="93">
        <v>3220.6</v>
      </c>
      <c r="H8" s="93">
        <v>3237</v>
      </c>
      <c r="I8" s="93">
        <v>3259.4</v>
      </c>
      <c r="J8" s="93">
        <v>3396.5</v>
      </c>
      <c r="K8" s="342"/>
      <c r="L8" s="342"/>
      <c r="N8" s="344"/>
      <c r="O8" s="344"/>
      <c r="P8" s="344"/>
    </row>
    <row r="9" spans="1:16" s="217" customFormat="1" ht="20.100000000000001" customHeight="1">
      <c r="A9" s="221" t="s">
        <v>226</v>
      </c>
      <c r="B9" s="216">
        <v>1011</v>
      </c>
      <c r="C9" s="215"/>
      <c r="D9" s="93"/>
      <c r="E9" s="297"/>
      <c r="F9" s="312"/>
      <c r="G9" s="93"/>
      <c r="H9" s="215"/>
      <c r="I9" s="215"/>
      <c r="J9" s="93"/>
      <c r="K9" s="342"/>
      <c r="L9" s="342"/>
      <c r="N9" s="344"/>
      <c r="O9" s="344"/>
      <c r="P9" s="344"/>
    </row>
    <row r="10" spans="1:16" s="217" customFormat="1" ht="20.100000000000001" customHeight="1">
      <c r="A10" s="221" t="s">
        <v>227</v>
      </c>
      <c r="B10" s="216">
        <v>1012</v>
      </c>
      <c r="C10" s="93">
        <v>3761.2</v>
      </c>
      <c r="D10" s="93">
        <v>4556.3999999999996</v>
      </c>
      <c r="E10" s="93">
        <v>5135.8999999999996</v>
      </c>
      <c r="F10" s="311">
        <f>G10+H10+I10+J10</f>
        <v>9224.2999999999993</v>
      </c>
      <c r="G10" s="93">
        <v>1930.7</v>
      </c>
      <c r="H10" s="93">
        <v>2759.1</v>
      </c>
      <c r="I10" s="93">
        <v>2267.6999999999998</v>
      </c>
      <c r="J10" s="93">
        <v>2266.8000000000002</v>
      </c>
      <c r="K10" s="342"/>
      <c r="L10" s="342"/>
      <c r="N10" s="344"/>
      <c r="O10" s="344"/>
      <c r="P10" s="344"/>
    </row>
    <row r="11" spans="1:16" s="217" customFormat="1" ht="20.100000000000001" customHeight="1">
      <c r="A11" s="221" t="s">
        <v>223</v>
      </c>
      <c r="B11" s="216">
        <v>1020</v>
      </c>
      <c r="C11" s="93">
        <v>321.39999999999998</v>
      </c>
      <c r="D11" s="93">
        <v>339.4</v>
      </c>
      <c r="E11" s="93">
        <v>377.3</v>
      </c>
      <c r="F11" s="311">
        <f>G11+H11+I11+J11</f>
        <v>491.4</v>
      </c>
      <c r="G11" s="93">
        <v>113.3</v>
      </c>
      <c r="H11" s="93">
        <v>131.9</v>
      </c>
      <c r="I11" s="93">
        <v>121.6</v>
      </c>
      <c r="J11" s="93">
        <v>124.6</v>
      </c>
      <c r="K11" s="342"/>
      <c r="L11" s="342"/>
      <c r="N11" s="344"/>
      <c r="O11" s="344"/>
      <c r="P11" s="344"/>
    </row>
    <row r="12" spans="1:16" s="217" customFormat="1" ht="39.75" customHeight="1">
      <c r="A12" s="221" t="s">
        <v>224</v>
      </c>
      <c r="B12" s="216">
        <v>1030</v>
      </c>
      <c r="C12" s="222"/>
      <c r="D12" s="216"/>
      <c r="E12" s="65"/>
      <c r="F12" s="313"/>
      <c r="G12" s="324"/>
      <c r="H12" s="324"/>
      <c r="I12" s="324"/>
      <c r="J12" s="324"/>
      <c r="K12" s="342"/>
      <c r="L12" s="342"/>
      <c r="N12" s="345"/>
      <c r="O12" s="345"/>
      <c r="P12" s="345"/>
    </row>
    <row r="13" spans="1:16" s="5" customFormat="1" ht="41.25" customHeight="1">
      <c r="A13" s="213" t="s">
        <v>87</v>
      </c>
      <c r="B13" s="234">
        <v>1040</v>
      </c>
      <c r="C13" s="79">
        <f>C7-C11-C12</f>
        <v>15485.199999999999</v>
      </c>
      <c r="D13" s="79">
        <f>D7-D11-D12</f>
        <v>15217</v>
      </c>
      <c r="E13" s="79">
        <f>E7-E11-E12</f>
        <v>17588.5</v>
      </c>
      <c r="F13" s="288">
        <f t="shared" ref="F13:F25" si="0">G13+H13+I13+J13</f>
        <v>21846.350000000002</v>
      </c>
      <c r="G13" s="79">
        <f>G7-G11</f>
        <v>5038</v>
      </c>
      <c r="H13" s="79">
        <f>H7-H11</f>
        <v>5864.2000000000007</v>
      </c>
      <c r="I13" s="79">
        <f>I7-I11</f>
        <v>5405.45</v>
      </c>
      <c r="J13" s="79">
        <f>J7-J11+0.1</f>
        <v>5538.7</v>
      </c>
      <c r="K13" s="342"/>
      <c r="L13" s="342"/>
      <c r="N13" s="345"/>
      <c r="O13" s="345"/>
      <c r="P13" s="345"/>
    </row>
    <row r="14" spans="1:16" ht="41.25" customHeight="1">
      <c r="A14" s="9" t="s">
        <v>101</v>
      </c>
      <c r="B14" s="234">
        <v>1050</v>
      </c>
      <c r="C14" s="157">
        <f>SUM(C15:C26)</f>
        <v>12796</v>
      </c>
      <c r="D14" s="157">
        <f>SUM(D15:D26)</f>
        <v>12273.545999999998</v>
      </c>
      <c r="E14" s="157">
        <f>E15+E16+E17+E18+E19+E20+E25+E26</f>
        <v>14066.005179810001</v>
      </c>
      <c r="F14" s="288">
        <f t="shared" si="0"/>
        <v>16280.599999999999</v>
      </c>
      <c r="G14" s="325">
        <f>G15+G16+G17+G18+G19+G20+G25+G26</f>
        <v>3674.5</v>
      </c>
      <c r="H14" s="157">
        <f>H15+H16+H17+H18+H19+H20+H25+H26</f>
        <v>4457.6000000000004</v>
      </c>
      <c r="I14" s="157">
        <f>I15+I16+I17+I18+I19+I20+I25+I26</f>
        <v>4021.7</v>
      </c>
      <c r="J14" s="157">
        <f>J15+J16+J17+J18+J19+J20+J25+J26</f>
        <v>4126.8</v>
      </c>
      <c r="K14" s="342"/>
      <c r="L14" s="342"/>
      <c r="N14" s="92"/>
      <c r="O14" s="92"/>
      <c r="P14" s="92"/>
    </row>
    <row r="15" spans="1:16" s="2" customFormat="1" ht="22.5" customHeight="1">
      <c r="A15" s="8" t="s">
        <v>196</v>
      </c>
      <c r="B15" s="106">
        <v>1051</v>
      </c>
      <c r="C15" s="218">
        <v>3294.8</v>
      </c>
      <c r="D15" s="218">
        <v>2179.8000000000002</v>
      </c>
      <c r="E15" s="299">
        <v>2279.8000000000002</v>
      </c>
      <c r="F15" s="289">
        <f t="shared" si="0"/>
        <v>2332.7000000000003</v>
      </c>
      <c r="G15" s="289">
        <v>583.20000000000005</v>
      </c>
      <c r="H15" s="289">
        <v>535.1</v>
      </c>
      <c r="I15" s="289">
        <v>623</v>
      </c>
      <c r="J15" s="289">
        <v>591.4</v>
      </c>
      <c r="K15" s="342"/>
      <c r="L15" s="342"/>
    </row>
    <row r="16" spans="1:16" s="2" customFormat="1" ht="20.100000000000001" customHeight="1">
      <c r="A16" s="8" t="s">
        <v>48</v>
      </c>
      <c r="B16" s="106">
        <v>1052</v>
      </c>
      <c r="C16" s="218">
        <v>2172.6999999999998</v>
      </c>
      <c r="D16" s="218">
        <v>2248</v>
      </c>
      <c r="E16" s="299">
        <v>2238</v>
      </c>
      <c r="F16" s="289">
        <f t="shared" si="0"/>
        <v>2559.6999999999998</v>
      </c>
      <c r="G16" s="289">
        <v>547</v>
      </c>
      <c r="H16" s="289">
        <v>769</v>
      </c>
      <c r="I16" s="289">
        <v>583.4</v>
      </c>
      <c r="J16" s="289">
        <v>660.3</v>
      </c>
      <c r="K16" s="342"/>
      <c r="L16" s="342"/>
    </row>
    <row r="17" spans="1:12" s="2" customFormat="1" ht="20.100000000000001" customHeight="1">
      <c r="A17" s="8" t="s">
        <v>47</v>
      </c>
      <c r="B17" s="106">
        <v>1053</v>
      </c>
      <c r="C17" s="218">
        <v>80</v>
      </c>
      <c r="D17" s="218">
        <v>100</v>
      </c>
      <c r="E17" s="292">
        <v>110</v>
      </c>
      <c r="F17" s="289">
        <f t="shared" si="0"/>
        <v>173.7</v>
      </c>
      <c r="G17" s="289">
        <v>71.599999999999994</v>
      </c>
      <c r="H17" s="289">
        <v>21.3</v>
      </c>
      <c r="I17" s="289">
        <v>15.2</v>
      </c>
      <c r="J17" s="289">
        <v>65.599999999999994</v>
      </c>
      <c r="K17" s="342"/>
      <c r="L17" s="342"/>
    </row>
    <row r="18" spans="1:12" s="2" customFormat="1" ht="20.100000000000001" customHeight="1">
      <c r="A18" s="8" t="s">
        <v>23</v>
      </c>
      <c r="B18" s="106">
        <v>1054</v>
      </c>
      <c r="C18" s="218">
        <v>5282.6</v>
      </c>
      <c r="D18" s="218">
        <v>5684.2999999999993</v>
      </c>
      <c r="E18" s="292">
        <v>6746.00209</v>
      </c>
      <c r="F18" s="289">
        <f t="shared" si="0"/>
        <v>7584.1999999999989</v>
      </c>
      <c r="G18" s="289">
        <v>1790.6</v>
      </c>
      <c r="H18" s="289">
        <v>1860.6</v>
      </c>
      <c r="I18" s="289">
        <v>1926.1</v>
      </c>
      <c r="J18" s="289">
        <v>2006.9</v>
      </c>
      <c r="K18" s="342"/>
      <c r="L18" s="342"/>
    </row>
    <row r="19" spans="1:12" s="2" customFormat="1" ht="20.100000000000001" customHeight="1">
      <c r="A19" s="8" t="s">
        <v>24</v>
      </c>
      <c r="B19" s="106">
        <v>1055</v>
      </c>
      <c r="C19" s="218">
        <v>1149.7</v>
      </c>
      <c r="D19" s="218">
        <v>1250.5459999999998</v>
      </c>
      <c r="E19" s="343">
        <v>1484.1</v>
      </c>
      <c r="F19" s="289">
        <f t="shared" si="0"/>
        <v>1668.4</v>
      </c>
      <c r="G19" s="331">
        <v>393.9</v>
      </c>
      <c r="H19" s="331">
        <v>409.3</v>
      </c>
      <c r="I19" s="331">
        <v>423.7</v>
      </c>
      <c r="J19" s="331">
        <v>441.5</v>
      </c>
      <c r="K19" s="342"/>
      <c r="L19" s="342"/>
    </row>
    <row r="20" spans="1:12" s="2" customFormat="1" ht="77.25" customHeight="1">
      <c r="A20" s="8" t="s">
        <v>178</v>
      </c>
      <c r="B20" s="106">
        <v>1056</v>
      </c>
      <c r="C20" s="209"/>
      <c r="D20" s="90"/>
      <c r="E20" s="289">
        <v>20.100000000000001</v>
      </c>
      <c r="F20" s="289">
        <f t="shared" si="0"/>
        <v>361.6</v>
      </c>
      <c r="G20" s="289">
        <v>90.4</v>
      </c>
      <c r="H20" s="289">
        <v>90.4</v>
      </c>
      <c r="I20" s="289">
        <v>115.4</v>
      </c>
      <c r="J20" s="289">
        <v>65.400000000000006</v>
      </c>
      <c r="K20" s="342"/>
      <c r="L20" s="342"/>
    </row>
    <row r="21" spans="1:12" s="2" customFormat="1" ht="18" hidden="1" customHeight="1" outlineLevel="1">
      <c r="A21" s="250"/>
      <c r="B21" s="246"/>
      <c r="C21" s="247"/>
      <c r="D21" s="247"/>
      <c r="E21" s="247"/>
      <c r="F21" s="289">
        <f t="shared" si="0"/>
        <v>0</v>
      </c>
      <c r="G21" s="260">
        <v>0</v>
      </c>
      <c r="H21" s="253">
        <v>0</v>
      </c>
      <c r="I21" s="260">
        <v>0</v>
      </c>
      <c r="J21" s="260">
        <v>0</v>
      </c>
      <c r="K21" s="342"/>
      <c r="L21" s="342"/>
    </row>
    <row r="22" spans="1:12" s="2" customFormat="1" ht="20.25" hidden="1" customHeight="1" outlineLevel="1">
      <c r="A22" s="250" t="s">
        <v>370</v>
      </c>
      <c r="B22" s="246"/>
      <c r="C22" s="247"/>
      <c r="D22" s="247"/>
      <c r="E22" s="247"/>
      <c r="F22" s="289">
        <f t="shared" si="0"/>
        <v>261.60000000000002</v>
      </c>
      <c r="G22" s="260">
        <v>65.400000000000006</v>
      </c>
      <c r="H22" s="260">
        <v>65.400000000000006</v>
      </c>
      <c r="I22" s="260">
        <v>65.400000000000006</v>
      </c>
      <c r="J22" s="260">
        <v>65.400000000000006</v>
      </c>
      <c r="K22" s="342"/>
      <c r="L22" s="342"/>
    </row>
    <row r="23" spans="1:12" s="2" customFormat="1" ht="22.5" hidden="1" customHeight="1" outlineLevel="1">
      <c r="A23" s="250" t="e">
        <f>#REF!</f>
        <v>#REF!</v>
      </c>
      <c r="B23" s="246"/>
      <c r="C23" s="247"/>
      <c r="D23" s="247"/>
      <c r="E23" s="247"/>
      <c r="F23" s="289">
        <f t="shared" si="0"/>
        <v>40</v>
      </c>
      <c r="G23" s="260">
        <v>10</v>
      </c>
      <c r="H23" s="260">
        <v>10</v>
      </c>
      <c r="I23" s="260">
        <v>20</v>
      </c>
      <c r="J23" s="260">
        <v>0</v>
      </c>
      <c r="K23" s="342"/>
      <c r="L23" s="342"/>
    </row>
    <row r="24" spans="1:12" s="2" customFormat="1" ht="17.25" hidden="1" customHeight="1" outlineLevel="1">
      <c r="A24" s="250" t="e">
        <f>#REF!</f>
        <v>#REF!</v>
      </c>
      <c r="B24" s="246"/>
      <c r="C24" s="247"/>
      <c r="D24" s="247"/>
      <c r="E24" s="247"/>
      <c r="F24" s="289">
        <f t="shared" si="0"/>
        <v>60</v>
      </c>
      <c r="G24" s="260">
        <v>15</v>
      </c>
      <c r="H24" s="260">
        <v>15</v>
      </c>
      <c r="I24" s="260">
        <v>30</v>
      </c>
      <c r="J24" s="260">
        <v>0</v>
      </c>
      <c r="K24" s="342"/>
      <c r="L24" s="342"/>
    </row>
    <row r="25" spans="1:12" s="2" customFormat="1" ht="36.75" customHeight="1" collapsed="1">
      <c r="A25" s="8" t="s">
        <v>46</v>
      </c>
      <c r="B25" s="106">
        <v>1057</v>
      </c>
      <c r="C25" s="218">
        <f>'[35]1.Фінансовий результат'!$D$22</f>
        <v>285.39999999999998</v>
      </c>
      <c r="D25" s="218">
        <v>189.8</v>
      </c>
      <c r="E25" s="218">
        <v>190</v>
      </c>
      <c r="F25" s="289">
        <f t="shared" si="0"/>
        <v>200</v>
      </c>
      <c r="G25" s="331">
        <v>50</v>
      </c>
      <c r="H25" s="333">
        <v>50</v>
      </c>
      <c r="I25" s="333">
        <v>50</v>
      </c>
      <c r="J25" s="333">
        <v>50</v>
      </c>
      <c r="K25" s="342"/>
      <c r="L25" s="342"/>
    </row>
    <row r="26" spans="1:12" s="2" customFormat="1" ht="20.100000000000001" customHeight="1">
      <c r="A26" s="8" t="s">
        <v>279</v>
      </c>
      <c r="B26" s="106">
        <v>1058</v>
      </c>
      <c r="C26" s="218">
        <f t="shared" ref="C26:J26" si="1">C27+C28+C29+C30+C31+C32</f>
        <v>530.79999999999995</v>
      </c>
      <c r="D26" s="90">
        <f t="shared" si="1"/>
        <v>621.1</v>
      </c>
      <c r="E26" s="218">
        <f>E27+E28+E29+E30+E31+E32</f>
        <v>998.00308981000012</v>
      </c>
      <c r="F26" s="289">
        <f t="shared" si="1"/>
        <v>1400.3000000000002</v>
      </c>
      <c r="G26" s="333">
        <f>G27+G28+G29+G30+G31+G32</f>
        <v>147.80000000000001</v>
      </c>
      <c r="H26" s="333">
        <f t="shared" si="1"/>
        <v>721.9</v>
      </c>
      <c r="I26" s="333">
        <f>I27+I28+I29+I30+I31+I32</f>
        <v>284.90000000000003</v>
      </c>
      <c r="J26" s="333">
        <f t="shared" si="1"/>
        <v>245.70000000000002</v>
      </c>
      <c r="K26" s="342"/>
      <c r="L26" s="342"/>
    </row>
    <row r="27" spans="1:12" s="2" customFormat="1" ht="20.100000000000001" customHeight="1">
      <c r="A27" s="219" t="s">
        <v>280</v>
      </c>
      <c r="B27" s="249" t="s">
        <v>323</v>
      </c>
      <c r="C27" s="220">
        <v>116.3</v>
      </c>
      <c r="D27" s="220">
        <v>176.09999999999997</v>
      </c>
      <c r="E27" s="220">
        <v>378.10308981000003</v>
      </c>
      <c r="F27" s="276">
        <f t="shared" ref="F27:F32" si="2">G27+H27+I27+J27</f>
        <v>824.40000000000009</v>
      </c>
      <c r="G27" s="220">
        <v>93.6</v>
      </c>
      <c r="H27" s="220">
        <v>272</v>
      </c>
      <c r="I27" s="220">
        <v>277.60000000000002</v>
      </c>
      <c r="J27" s="220">
        <v>181.2</v>
      </c>
      <c r="K27" s="342"/>
      <c r="L27" s="342"/>
    </row>
    <row r="28" spans="1:12" s="2" customFormat="1" ht="20.100000000000001" customHeight="1">
      <c r="A28" s="219" t="s">
        <v>281</v>
      </c>
      <c r="B28" s="249" t="s">
        <v>324</v>
      </c>
      <c r="C28" s="220">
        <v>5.5</v>
      </c>
      <c r="D28" s="220">
        <v>6.5</v>
      </c>
      <c r="E28" s="220">
        <v>6.5</v>
      </c>
      <c r="F28" s="276">
        <f t="shared" si="2"/>
        <v>7</v>
      </c>
      <c r="G28" s="220">
        <v>1.4</v>
      </c>
      <c r="H28" s="220">
        <v>1.5</v>
      </c>
      <c r="I28" s="220">
        <v>1.3</v>
      </c>
      <c r="J28" s="220">
        <v>2.8</v>
      </c>
      <c r="K28" s="342"/>
      <c r="L28" s="342"/>
    </row>
    <row r="29" spans="1:12" s="2" customFormat="1" ht="20.100000000000001" customHeight="1">
      <c r="A29" s="219" t="s">
        <v>282</v>
      </c>
      <c r="B29" s="249" t="s">
        <v>325</v>
      </c>
      <c r="C29" s="220">
        <v>204.6</v>
      </c>
      <c r="D29" s="220">
        <v>300</v>
      </c>
      <c r="E29" s="220">
        <v>312</v>
      </c>
      <c r="F29" s="276">
        <f t="shared" si="2"/>
        <v>435.4</v>
      </c>
      <c r="G29" s="220">
        <v>0</v>
      </c>
      <c r="H29" s="220">
        <v>435.4</v>
      </c>
      <c r="I29" s="220">
        <v>0</v>
      </c>
      <c r="J29" s="220">
        <v>0</v>
      </c>
      <c r="K29" s="342"/>
      <c r="L29" s="342"/>
    </row>
    <row r="30" spans="1:12" s="2" customFormat="1" ht="20.100000000000001" customHeight="1">
      <c r="A30" s="219" t="s">
        <v>283</v>
      </c>
      <c r="B30" s="249" t="s">
        <v>326</v>
      </c>
      <c r="C30" s="220">
        <v>30</v>
      </c>
      <c r="D30" s="220">
        <v>56.2</v>
      </c>
      <c r="E30" s="220">
        <v>56.2</v>
      </c>
      <c r="F30" s="220">
        <f t="shared" si="2"/>
        <v>0</v>
      </c>
      <c r="G30" s="220">
        <v>0</v>
      </c>
      <c r="H30" s="220">
        <v>0</v>
      </c>
      <c r="I30" s="220">
        <v>0</v>
      </c>
      <c r="J30" s="220">
        <v>0</v>
      </c>
      <c r="K30" s="342"/>
      <c r="L30" s="342"/>
    </row>
    <row r="31" spans="1:12" s="2" customFormat="1" ht="20.100000000000001" customHeight="1">
      <c r="A31" s="219" t="s">
        <v>284</v>
      </c>
      <c r="B31" s="249" t="s">
        <v>327</v>
      </c>
      <c r="C31" s="220">
        <v>61.2</v>
      </c>
      <c r="D31" s="220">
        <v>49.1</v>
      </c>
      <c r="E31" s="220">
        <v>60</v>
      </c>
      <c r="F31" s="220">
        <f t="shared" si="2"/>
        <v>93.899999999999991</v>
      </c>
      <c r="G31" s="220">
        <v>40.299999999999997</v>
      </c>
      <c r="H31" s="220">
        <v>2.2999999999999998</v>
      </c>
      <c r="I31" s="220">
        <v>0</v>
      </c>
      <c r="J31" s="220">
        <v>51.3</v>
      </c>
      <c r="K31" s="342"/>
      <c r="L31" s="342"/>
    </row>
    <row r="32" spans="1:12" s="2" customFormat="1" ht="20.100000000000001" customHeight="1">
      <c r="A32" s="219" t="s">
        <v>240</v>
      </c>
      <c r="B32" s="249" t="s">
        <v>328</v>
      </c>
      <c r="C32" s="220">
        <v>113.2</v>
      </c>
      <c r="D32" s="220">
        <v>33.200000000000003</v>
      </c>
      <c r="E32" s="220">
        <v>185.2</v>
      </c>
      <c r="F32" s="220">
        <f t="shared" si="2"/>
        <v>39.6</v>
      </c>
      <c r="G32" s="220">
        <v>12.5</v>
      </c>
      <c r="H32" s="220">
        <v>10.7</v>
      </c>
      <c r="I32" s="220">
        <v>6</v>
      </c>
      <c r="J32" s="220">
        <v>10.4</v>
      </c>
      <c r="K32" s="342"/>
      <c r="L32" s="342"/>
    </row>
    <row r="33" spans="1:12" s="2" customFormat="1" ht="20.100000000000001" hidden="1" customHeight="1" outlineLevel="1">
      <c r="A33" s="245" t="s">
        <v>376</v>
      </c>
      <c r="B33" s="246"/>
      <c r="C33" s="247"/>
      <c r="D33" s="247"/>
      <c r="E33" s="247"/>
      <c r="F33" s="247"/>
      <c r="G33" s="248"/>
      <c r="H33" s="248"/>
      <c r="I33" s="248"/>
      <c r="J33" s="248"/>
      <c r="K33" s="342"/>
      <c r="L33" s="342"/>
    </row>
    <row r="34" spans="1:12" s="2" customFormat="1" ht="39" hidden="1" customHeight="1" outlineLevel="1">
      <c r="A34" s="245" t="e">
        <f>#REF!</f>
        <v>#REF!</v>
      </c>
      <c r="B34" s="246"/>
      <c r="C34" s="247"/>
      <c r="D34" s="247"/>
      <c r="E34" s="247"/>
      <c r="F34" s="247"/>
      <c r="G34" s="248" t="e">
        <f>#REF!</f>
        <v>#REF!</v>
      </c>
      <c r="H34" s="248" t="e">
        <f>#REF!</f>
        <v>#REF!</v>
      </c>
      <c r="I34" s="248" t="e">
        <f>#REF!</f>
        <v>#REF!</v>
      </c>
      <c r="J34" s="248" t="e">
        <f>#REF!</f>
        <v>#REF!</v>
      </c>
      <c r="K34" s="342"/>
      <c r="L34" s="342"/>
    </row>
    <row r="35" spans="1:12" s="73" customFormat="1" ht="24.75" customHeight="1" collapsed="1">
      <c r="A35" s="72" t="s">
        <v>294</v>
      </c>
      <c r="B35" s="338">
        <v>1060</v>
      </c>
      <c r="C35" s="155">
        <f t="shared" ref="C35:E35" si="3">C13-C14</f>
        <v>2689.1999999999989</v>
      </c>
      <c r="D35" s="155">
        <f t="shared" si="3"/>
        <v>2943.4540000000015</v>
      </c>
      <c r="E35" s="155">
        <f t="shared" si="3"/>
        <v>3522.4948201899988</v>
      </c>
      <c r="F35" s="155">
        <f>G35+H35+I35+J35</f>
        <v>5565.75</v>
      </c>
      <c r="G35" s="155">
        <f>G13-G14</f>
        <v>1363.5</v>
      </c>
      <c r="H35" s="155">
        <f>H13-H14</f>
        <v>1406.6000000000004</v>
      </c>
      <c r="I35" s="155">
        <f>I13-I14</f>
        <v>1383.75</v>
      </c>
      <c r="J35" s="155">
        <f>J13-J14</f>
        <v>1411.8999999999996</v>
      </c>
      <c r="K35" s="342"/>
      <c r="L35" s="342"/>
    </row>
    <row r="36" spans="1:12" ht="18.75" customHeight="1">
      <c r="A36" s="332" t="s">
        <v>238</v>
      </c>
      <c r="B36" s="143">
        <v>1070</v>
      </c>
      <c r="C36" s="210"/>
      <c r="D36" s="144"/>
      <c r="E36" s="144"/>
      <c r="F36" s="144"/>
      <c r="G36" s="144"/>
      <c r="H36" s="144"/>
      <c r="I36" s="144"/>
      <c r="J36" s="144"/>
      <c r="K36" s="342"/>
      <c r="L36" s="342"/>
    </row>
    <row r="37" spans="1:12" ht="20.100000000000001" customHeight="1">
      <c r="A37" s="9" t="s">
        <v>169</v>
      </c>
      <c r="B37" s="234">
        <v>1080</v>
      </c>
      <c r="C37" s="79">
        <f>SUM(C38:C59)</f>
        <v>1856.1999999999996</v>
      </c>
      <c r="D37" s="79">
        <f>D38+D42+D44+D45+D46+D47+D49+D59+D57</f>
        <v>1930.864</v>
      </c>
      <c r="E37" s="79">
        <f>E38+E44+E45+E46+E47+E49+E59+E42+E57</f>
        <v>2634.3409120769229</v>
      </c>
      <c r="F37" s="79">
        <f>G37+H37+I37+J37</f>
        <v>4420</v>
      </c>
      <c r="G37" s="79">
        <f>G38+G42+G43+G44+G45+G46+G47+G49+G56+G57</f>
        <v>1070.9000000000001</v>
      </c>
      <c r="H37" s="79">
        <f>H38+H42+H43+H44+H45+H46+H47+H49+H56+H57</f>
        <v>1138.5999999999999</v>
      </c>
      <c r="I37" s="79">
        <f>I38+I42+I43+I44+I45+I46+I47+I49+I56+I57</f>
        <v>1124.8</v>
      </c>
      <c r="J37" s="79">
        <f>J38+J42+J43+J44+J45+J46+J47+J49+J56+J57</f>
        <v>1085.7</v>
      </c>
      <c r="K37" s="342"/>
      <c r="L37" s="342"/>
    </row>
    <row r="38" spans="1:12" s="217" customFormat="1" ht="38.25" customHeight="1">
      <c r="A38" s="8" t="s">
        <v>86</v>
      </c>
      <c r="B38" s="106">
        <v>1081</v>
      </c>
      <c r="C38" s="86">
        <v>169.7</v>
      </c>
      <c r="D38" s="86">
        <v>159.9</v>
      </c>
      <c r="E38" s="343">
        <f>(46.9*4)+63.8/2.6+(63.8/2.6*0.22)</f>
        <v>217.53692307692307</v>
      </c>
      <c r="F38" s="331">
        <f>G38+H38+I38+J38</f>
        <v>225.2</v>
      </c>
      <c r="G38" s="295">
        <v>56.3</v>
      </c>
      <c r="H38" s="331">
        <v>56.3</v>
      </c>
      <c r="I38" s="331">
        <v>56.3</v>
      </c>
      <c r="J38" s="331">
        <v>56.3</v>
      </c>
      <c r="K38" s="342"/>
      <c r="L38" s="342"/>
    </row>
    <row r="39" spans="1:12" s="217" customFormat="1" ht="20.25" customHeight="1">
      <c r="A39" s="8" t="s">
        <v>159</v>
      </c>
      <c r="B39" s="106">
        <v>1082</v>
      </c>
      <c r="C39" s="238"/>
      <c r="D39" s="86"/>
      <c r="E39" s="218"/>
      <c r="F39" s="241"/>
      <c r="G39" s="220"/>
      <c r="H39" s="220"/>
      <c r="I39" s="220"/>
      <c r="J39" s="220"/>
      <c r="K39" s="342"/>
      <c r="L39" s="342"/>
    </row>
    <row r="40" spans="1:12" s="217" customFormat="1" ht="20.100000000000001" customHeight="1">
      <c r="A40" s="8" t="s">
        <v>45</v>
      </c>
      <c r="B40" s="106">
        <v>1083</v>
      </c>
      <c r="C40" s="238"/>
      <c r="D40" s="86"/>
      <c r="E40" s="218"/>
      <c r="F40" s="241"/>
      <c r="G40" s="220"/>
      <c r="H40" s="220"/>
      <c r="I40" s="220"/>
      <c r="J40" s="220"/>
      <c r="K40" s="342"/>
      <c r="L40" s="342"/>
    </row>
    <row r="41" spans="1:12" s="217" customFormat="1" ht="20.100000000000001" customHeight="1">
      <c r="A41" s="8" t="s">
        <v>7</v>
      </c>
      <c r="B41" s="106">
        <v>1084</v>
      </c>
      <c r="C41" s="238"/>
      <c r="D41" s="86"/>
      <c r="E41" s="218"/>
      <c r="F41" s="241"/>
      <c r="G41" s="220"/>
      <c r="H41" s="220"/>
      <c r="I41" s="220"/>
      <c r="J41" s="220"/>
      <c r="K41" s="342"/>
      <c r="L41" s="342"/>
    </row>
    <row r="42" spans="1:12" s="217" customFormat="1" ht="20.100000000000001" customHeight="1">
      <c r="A42" s="8" t="s">
        <v>8</v>
      </c>
      <c r="B42" s="106">
        <v>1085</v>
      </c>
      <c r="C42" s="238"/>
      <c r="D42" s="218">
        <v>50</v>
      </c>
      <c r="E42" s="218">
        <v>0</v>
      </c>
      <c r="F42" s="241">
        <f t="shared" ref="F42:F47" si="4">G42+H42+I42+J42</f>
        <v>54.1</v>
      </c>
      <c r="G42" s="239">
        <v>0</v>
      </c>
      <c r="H42" s="239">
        <v>54.1</v>
      </c>
      <c r="I42" s="239">
        <v>0</v>
      </c>
      <c r="J42" s="239">
        <v>0</v>
      </c>
      <c r="K42" s="342"/>
      <c r="L42" s="342"/>
    </row>
    <row r="43" spans="1:12" s="2" customFormat="1" ht="20.100000000000001" customHeight="1">
      <c r="A43" s="8" t="s">
        <v>21</v>
      </c>
      <c r="B43" s="106">
        <v>1086</v>
      </c>
      <c r="C43" s="218"/>
      <c r="D43" s="218"/>
      <c r="E43" s="218"/>
      <c r="F43" s="331">
        <f t="shared" si="4"/>
        <v>15</v>
      </c>
      <c r="G43" s="239">
        <v>3.7</v>
      </c>
      <c r="H43" s="239">
        <v>3.8</v>
      </c>
      <c r="I43" s="239">
        <v>7.5</v>
      </c>
      <c r="J43" s="239">
        <v>0</v>
      </c>
      <c r="K43" s="342"/>
      <c r="L43" s="342"/>
    </row>
    <row r="44" spans="1:12" s="2" customFormat="1" ht="20.100000000000001" customHeight="1">
      <c r="A44" s="8" t="s">
        <v>22</v>
      </c>
      <c r="B44" s="106">
        <v>1087</v>
      </c>
      <c r="C44" s="218">
        <v>13.1</v>
      </c>
      <c r="D44" s="218">
        <v>14.4</v>
      </c>
      <c r="E44" s="218">
        <f>3.5*4+0.4</f>
        <v>14.4</v>
      </c>
      <c r="F44" s="331">
        <f t="shared" si="4"/>
        <v>15.6</v>
      </c>
      <c r="G44" s="239">
        <v>3.9</v>
      </c>
      <c r="H44" s="239">
        <v>3.9</v>
      </c>
      <c r="I44" s="239">
        <v>3.9</v>
      </c>
      <c r="J44" s="239">
        <v>3.9</v>
      </c>
      <c r="K44" s="342"/>
      <c r="L44" s="342"/>
    </row>
    <row r="45" spans="1:12" s="231" customFormat="1" ht="20.100000000000001" customHeight="1">
      <c r="A45" s="227" t="s">
        <v>23</v>
      </c>
      <c r="B45" s="228">
        <v>1088</v>
      </c>
      <c r="C45" s="239">
        <v>1266.0999999999999</v>
      </c>
      <c r="D45" s="239">
        <v>1286.2</v>
      </c>
      <c r="E45" s="239">
        <f>[36]Зведена!$K$101/1000-80</f>
        <v>1872.0524499999999</v>
      </c>
      <c r="F45" s="295">
        <f t="shared" si="4"/>
        <v>3014.1000000000004</v>
      </c>
      <c r="G45" s="239">
        <v>729.9</v>
      </c>
      <c r="H45" s="239">
        <v>729.9</v>
      </c>
      <c r="I45" s="239">
        <v>768.5</v>
      </c>
      <c r="J45" s="239">
        <v>785.8</v>
      </c>
      <c r="K45" s="342"/>
      <c r="L45" s="342"/>
    </row>
    <row r="46" spans="1:12" s="2" customFormat="1" ht="20.100000000000001" customHeight="1">
      <c r="A46" s="8" t="s">
        <v>24</v>
      </c>
      <c r="B46" s="106">
        <v>1089</v>
      </c>
      <c r="C46" s="218">
        <v>278.5</v>
      </c>
      <c r="D46" s="218">
        <f>D45*0.22</f>
        <v>282.964</v>
      </c>
      <c r="E46" s="218">
        <f t="shared" ref="E46" si="5">E45*0.22</f>
        <v>411.851539</v>
      </c>
      <c r="F46" s="331">
        <f t="shared" si="4"/>
        <v>663.19999999999993</v>
      </c>
      <c r="G46" s="331">
        <v>160.6</v>
      </c>
      <c r="H46" s="331">
        <v>160.6</v>
      </c>
      <c r="I46" s="331">
        <v>169.1</v>
      </c>
      <c r="J46" s="331">
        <v>172.9</v>
      </c>
      <c r="K46" s="342"/>
      <c r="L46" s="342"/>
    </row>
    <row r="47" spans="1:12" s="2" customFormat="1" ht="59.25" customHeight="1">
      <c r="A47" s="227" t="s">
        <v>25</v>
      </c>
      <c r="B47" s="106">
        <v>1090</v>
      </c>
      <c r="C47" s="218">
        <v>4.5999999999999996</v>
      </c>
      <c r="D47" s="218">
        <v>4.4000000000000004</v>
      </c>
      <c r="E47" s="218">
        <v>4.4000000000000004</v>
      </c>
      <c r="F47" s="295">
        <f t="shared" si="4"/>
        <v>8.4</v>
      </c>
      <c r="G47" s="343">
        <v>2.1</v>
      </c>
      <c r="H47" s="343">
        <v>2.1</v>
      </c>
      <c r="I47" s="343">
        <v>2.1</v>
      </c>
      <c r="J47" s="343">
        <v>2.1</v>
      </c>
      <c r="K47" s="342"/>
      <c r="L47" s="342"/>
    </row>
    <row r="48" spans="1:12" s="2" customFormat="1" ht="39" customHeight="1">
      <c r="A48" s="227" t="s">
        <v>26</v>
      </c>
      <c r="B48" s="106">
        <v>1091</v>
      </c>
      <c r="C48" s="218"/>
      <c r="D48" s="218"/>
      <c r="E48" s="218"/>
      <c r="F48" s="218"/>
      <c r="G48" s="218"/>
      <c r="H48" s="218"/>
      <c r="I48" s="218"/>
      <c r="J48" s="218"/>
      <c r="K48" s="342"/>
      <c r="L48" s="342"/>
    </row>
    <row r="49" spans="1:12" s="2" customFormat="1" ht="39" customHeight="1">
      <c r="A49" s="227" t="s">
        <v>27</v>
      </c>
      <c r="B49" s="106">
        <v>1092</v>
      </c>
      <c r="C49" s="218">
        <v>3.6</v>
      </c>
      <c r="D49" s="218">
        <v>16</v>
      </c>
      <c r="E49" s="218">
        <v>8</v>
      </c>
      <c r="F49" s="218">
        <f>G49+H49+I49+J49</f>
        <v>18</v>
      </c>
      <c r="G49" s="331">
        <v>4.5</v>
      </c>
      <c r="H49" s="331">
        <v>4.5</v>
      </c>
      <c r="I49" s="331">
        <v>4.5</v>
      </c>
      <c r="J49" s="331">
        <v>4.5</v>
      </c>
      <c r="K49" s="342"/>
      <c r="L49" s="342"/>
    </row>
    <row r="50" spans="1:12" s="231" customFormat="1" ht="20.100000000000001" hidden="1" customHeight="1" outlineLevel="1">
      <c r="A50" s="227" t="s">
        <v>28</v>
      </c>
      <c r="B50" s="228">
        <v>1093</v>
      </c>
      <c r="C50" s="229"/>
      <c r="D50" s="229"/>
      <c r="E50" s="229"/>
      <c r="F50" s="230"/>
      <c r="G50" s="230"/>
      <c r="H50" s="230"/>
      <c r="I50" s="230"/>
      <c r="J50" s="230"/>
      <c r="K50" s="342"/>
      <c r="L50" s="342"/>
    </row>
    <row r="51" spans="1:12" s="231" customFormat="1" ht="20.100000000000001" hidden="1" customHeight="1" outlineLevel="1">
      <c r="A51" s="227" t="s">
        <v>29</v>
      </c>
      <c r="B51" s="228">
        <v>1094</v>
      </c>
      <c r="C51" s="229"/>
      <c r="D51" s="229"/>
      <c r="E51" s="229"/>
      <c r="F51" s="230"/>
      <c r="G51" s="230"/>
      <c r="H51" s="230"/>
      <c r="I51" s="230"/>
      <c r="J51" s="230"/>
      <c r="K51" s="342"/>
      <c r="L51" s="342"/>
    </row>
    <row r="52" spans="1:12" s="231" customFormat="1" ht="20.100000000000001" hidden="1" customHeight="1" outlineLevel="1">
      <c r="A52" s="227" t="s">
        <v>49</v>
      </c>
      <c r="B52" s="228">
        <v>1095</v>
      </c>
      <c r="C52" s="229"/>
      <c r="D52" s="229"/>
      <c r="E52" s="229"/>
      <c r="F52" s="230"/>
      <c r="G52" s="230"/>
      <c r="H52" s="230"/>
      <c r="I52" s="230"/>
      <c r="J52" s="230"/>
      <c r="K52" s="342"/>
      <c r="L52" s="342"/>
    </row>
    <row r="53" spans="1:12" s="231" customFormat="1" ht="20.100000000000001" hidden="1" customHeight="1" outlineLevel="1">
      <c r="A53" s="227" t="s">
        <v>30</v>
      </c>
      <c r="B53" s="228">
        <v>1096</v>
      </c>
      <c r="C53" s="229"/>
      <c r="D53" s="229"/>
      <c r="E53" s="229"/>
      <c r="F53" s="230"/>
      <c r="G53" s="230"/>
      <c r="H53" s="230"/>
      <c r="I53" s="230"/>
      <c r="J53" s="230"/>
      <c r="K53" s="342"/>
      <c r="L53" s="342"/>
    </row>
    <row r="54" spans="1:12" s="231" customFormat="1" ht="20.100000000000001" hidden="1" customHeight="1" outlineLevel="1">
      <c r="A54" s="227" t="s">
        <v>31</v>
      </c>
      <c r="B54" s="228">
        <v>1097</v>
      </c>
      <c r="C54" s="229"/>
      <c r="D54" s="229"/>
      <c r="E54" s="229"/>
      <c r="F54" s="230"/>
      <c r="G54" s="230"/>
      <c r="H54" s="230"/>
      <c r="I54" s="230"/>
      <c r="J54" s="230"/>
      <c r="K54" s="342"/>
      <c r="L54" s="342"/>
    </row>
    <row r="55" spans="1:12" s="231" customFormat="1" ht="20.100000000000001" hidden="1" customHeight="1" outlineLevel="1">
      <c r="A55" s="227" t="s">
        <v>32</v>
      </c>
      <c r="B55" s="228">
        <v>1098</v>
      </c>
      <c r="C55" s="229"/>
      <c r="D55" s="229"/>
      <c r="E55" s="229"/>
      <c r="F55" s="230"/>
      <c r="G55" s="230"/>
      <c r="H55" s="230"/>
      <c r="I55" s="230"/>
      <c r="J55" s="230"/>
      <c r="K55" s="342"/>
      <c r="L55" s="342"/>
    </row>
    <row r="56" spans="1:12" s="231" customFormat="1" ht="38.25" customHeight="1" collapsed="1">
      <c r="A56" s="227" t="s">
        <v>33</v>
      </c>
      <c r="B56" s="228">
        <v>1099</v>
      </c>
      <c r="C56" s="229"/>
      <c r="D56" s="229"/>
      <c r="E56" s="229"/>
      <c r="F56" s="289">
        <f>G56+H56+I56+J56</f>
        <v>13.399999999999999</v>
      </c>
      <c r="G56" s="295">
        <v>0</v>
      </c>
      <c r="H56" s="331">
        <v>6.8</v>
      </c>
      <c r="I56" s="331">
        <v>3.3</v>
      </c>
      <c r="J56" s="331">
        <v>3.3</v>
      </c>
      <c r="K56" s="342"/>
      <c r="L56" s="342"/>
    </row>
    <row r="57" spans="1:12" s="2" customFormat="1" ht="80.25" customHeight="1">
      <c r="A57" s="8" t="s">
        <v>60</v>
      </c>
      <c r="B57" s="106">
        <v>1100</v>
      </c>
      <c r="C57" s="212"/>
      <c r="D57" s="218">
        <v>0</v>
      </c>
      <c r="E57" s="218"/>
      <c r="F57" s="289">
        <f>G57+H57+I57+J57</f>
        <v>393</v>
      </c>
      <c r="G57" s="333">
        <f>G58+G59</f>
        <v>109.9</v>
      </c>
      <c r="H57" s="333">
        <f>H58+H59</f>
        <v>116.6</v>
      </c>
      <c r="I57" s="333">
        <f>I58+I59</f>
        <v>109.6</v>
      </c>
      <c r="J57" s="333">
        <f>J58+J59</f>
        <v>56.900000000000006</v>
      </c>
      <c r="K57" s="342"/>
      <c r="L57" s="342"/>
    </row>
    <row r="58" spans="1:12" s="2" customFormat="1" ht="37.5">
      <c r="A58" s="8" t="s">
        <v>357</v>
      </c>
      <c r="B58" s="106">
        <v>1101</v>
      </c>
      <c r="C58" s="212"/>
      <c r="D58" s="218">
        <v>0</v>
      </c>
      <c r="E58" s="218">
        <v>0</v>
      </c>
      <c r="F58" s="289">
        <f>G58+H58+I58+J58</f>
        <v>150</v>
      </c>
      <c r="G58" s="241">
        <v>50</v>
      </c>
      <c r="H58" s="333">
        <v>50</v>
      </c>
      <c r="I58" s="333">
        <v>50</v>
      </c>
      <c r="J58" s="333">
        <v>0</v>
      </c>
      <c r="K58" s="342"/>
      <c r="L58" s="342"/>
    </row>
    <row r="59" spans="1:12" s="2" customFormat="1" ht="38.25" customHeight="1">
      <c r="A59" s="227" t="s">
        <v>277</v>
      </c>
      <c r="B59" s="106">
        <v>1102</v>
      </c>
      <c r="C59" s="218">
        <f>C60+C61+C62+C67+C65+C63+C64+C66</f>
        <v>120.6</v>
      </c>
      <c r="D59" s="218">
        <f>D61+D62+D67+D65+D64+D63+D66+D60</f>
        <v>117</v>
      </c>
      <c r="E59" s="218">
        <f>E60+E61+E62+E67+E65+E64+E63+E66</f>
        <v>106.1</v>
      </c>
      <c r="F59" s="289">
        <f>G59+H59+I59+J59</f>
        <v>243</v>
      </c>
      <c r="G59" s="218">
        <f>G60+G61+G62+G67+G65+G64+G63+G66</f>
        <v>59.900000000000006</v>
      </c>
      <c r="H59" s="317">
        <f>H60+H61+H62+H67+H65+H64+H63+H66</f>
        <v>66.599999999999994</v>
      </c>
      <c r="I59" s="317">
        <f>I60+I61+I62+I67+I65+I64+I63+I66</f>
        <v>59.6</v>
      </c>
      <c r="J59" s="317">
        <f>J60+J61+J62+J67+J65+J64+J63+J66</f>
        <v>56.900000000000006</v>
      </c>
      <c r="K59" s="342"/>
      <c r="L59" s="342"/>
    </row>
    <row r="60" spans="1:12" s="226" customFormat="1" ht="20.100000000000001" customHeight="1">
      <c r="A60" s="137" t="s">
        <v>268</v>
      </c>
      <c r="B60" s="224"/>
      <c r="C60" s="225"/>
      <c r="D60" s="223">
        <v>0</v>
      </c>
      <c r="E60" s="223">
        <v>0</v>
      </c>
      <c r="F60" s="223">
        <v>0</v>
      </c>
      <c r="G60" s="223">
        <v>0</v>
      </c>
      <c r="H60" s="223">
        <v>0</v>
      </c>
      <c r="I60" s="223">
        <v>0</v>
      </c>
      <c r="J60" s="223">
        <v>0</v>
      </c>
      <c r="K60" s="342"/>
      <c r="L60" s="342"/>
    </row>
    <row r="61" spans="1:12" s="226" customFormat="1" ht="20.100000000000001" customHeight="1">
      <c r="A61" s="137" t="s">
        <v>47</v>
      </c>
      <c r="B61" s="224"/>
      <c r="C61" s="223">
        <v>36.799999999999997</v>
      </c>
      <c r="D61" s="223">
        <v>28.799999999999997</v>
      </c>
      <c r="E61" s="223">
        <v>40</v>
      </c>
      <c r="F61" s="223">
        <v>40.5</v>
      </c>
      <c r="G61" s="223">
        <v>10.3</v>
      </c>
      <c r="H61" s="223">
        <v>9.6999999999999993</v>
      </c>
      <c r="I61" s="223">
        <v>9.6999999999999993</v>
      </c>
      <c r="J61" s="223">
        <v>10.8</v>
      </c>
      <c r="K61" s="342"/>
      <c r="L61" s="342"/>
    </row>
    <row r="62" spans="1:12" s="226" customFormat="1" ht="20.100000000000001" customHeight="1">
      <c r="A62" s="137" t="s">
        <v>270</v>
      </c>
      <c r="B62" s="224"/>
      <c r="C62" s="223">
        <v>1.4</v>
      </c>
      <c r="D62" s="223">
        <v>1.7000000000000002</v>
      </c>
      <c r="E62" s="223">
        <v>2.2999999999999998</v>
      </c>
      <c r="F62" s="223">
        <v>3.3</v>
      </c>
      <c r="G62" s="223">
        <v>0.9</v>
      </c>
      <c r="H62" s="223">
        <v>0.7</v>
      </c>
      <c r="I62" s="223">
        <v>0.7</v>
      </c>
      <c r="J62" s="223">
        <v>1</v>
      </c>
      <c r="K62" s="342"/>
      <c r="L62" s="342"/>
    </row>
    <row r="63" spans="1:12" s="226" customFormat="1" ht="20.100000000000001" customHeight="1">
      <c r="A63" s="137" t="s">
        <v>150</v>
      </c>
      <c r="B63" s="224"/>
      <c r="C63" s="223">
        <v>29.8</v>
      </c>
      <c r="D63" s="223">
        <v>24.1</v>
      </c>
      <c r="E63" s="223">
        <v>12</v>
      </c>
      <c r="F63" s="223">
        <v>115.50000000000001</v>
      </c>
      <c r="G63" s="223">
        <v>27.1</v>
      </c>
      <c r="H63" s="223">
        <v>36.1</v>
      </c>
      <c r="I63" s="223">
        <v>29.1</v>
      </c>
      <c r="J63" s="223">
        <v>23.2</v>
      </c>
      <c r="K63" s="342"/>
      <c r="L63" s="342"/>
    </row>
    <row r="64" spans="1:12" s="226" customFormat="1" ht="20.100000000000001" customHeight="1">
      <c r="A64" s="137" t="s">
        <v>272</v>
      </c>
      <c r="B64" s="224"/>
      <c r="C64" s="223">
        <v>14</v>
      </c>
      <c r="D64" s="223">
        <v>18.399999999999999</v>
      </c>
      <c r="E64" s="223">
        <v>15.8</v>
      </c>
      <c r="F64" s="223">
        <v>20</v>
      </c>
      <c r="G64" s="223">
        <v>5</v>
      </c>
      <c r="H64" s="223">
        <v>5</v>
      </c>
      <c r="I64" s="223">
        <v>5</v>
      </c>
      <c r="J64" s="223">
        <v>5</v>
      </c>
      <c r="K64" s="342"/>
      <c r="L64" s="342"/>
    </row>
    <row r="65" spans="1:12" s="226" customFormat="1" ht="20.100000000000001" customHeight="1">
      <c r="A65" s="137" t="s">
        <v>271</v>
      </c>
      <c r="B65" s="224"/>
      <c r="C65" s="223">
        <v>0</v>
      </c>
      <c r="D65" s="223">
        <v>0</v>
      </c>
      <c r="E65" s="223">
        <v>0</v>
      </c>
      <c r="F65" s="223">
        <v>3.3</v>
      </c>
      <c r="G65" s="223">
        <v>1.5</v>
      </c>
      <c r="H65" s="223">
        <v>0</v>
      </c>
      <c r="I65" s="223">
        <v>0</v>
      </c>
      <c r="J65" s="223">
        <v>1.8</v>
      </c>
      <c r="K65" s="342"/>
      <c r="L65" s="342"/>
    </row>
    <row r="66" spans="1:12" s="226" customFormat="1" ht="16.5" customHeight="1">
      <c r="A66" s="137" t="s">
        <v>356</v>
      </c>
      <c r="B66" s="224"/>
      <c r="C66" s="223">
        <v>34.9</v>
      </c>
      <c r="D66" s="223">
        <v>40</v>
      </c>
      <c r="E66" s="223">
        <v>32</v>
      </c>
      <c r="F66" s="223">
        <v>54</v>
      </c>
      <c r="G66" s="223">
        <v>13.5</v>
      </c>
      <c r="H66" s="223">
        <v>13.5</v>
      </c>
      <c r="I66" s="223">
        <v>13.5</v>
      </c>
      <c r="J66" s="223">
        <v>13.5</v>
      </c>
      <c r="K66" s="342"/>
      <c r="L66" s="342"/>
    </row>
    <row r="67" spans="1:12" s="226" customFormat="1" ht="20.100000000000001" customHeight="1">
      <c r="A67" s="137" t="s">
        <v>269</v>
      </c>
      <c r="B67" s="224"/>
      <c r="C67" s="223">
        <v>3.7</v>
      </c>
      <c r="D67" s="223">
        <v>4</v>
      </c>
      <c r="E67" s="223">
        <v>4</v>
      </c>
      <c r="F67" s="223">
        <v>6.4</v>
      </c>
      <c r="G67" s="223">
        <v>1.6</v>
      </c>
      <c r="H67" s="223">
        <v>1.6</v>
      </c>
      <c r="I67" s="223">
        <v>1.6</v>
      </c>
      <c r="J67" s="223">
        <v>1.6</v>
      </c>
      <c r="K67" s="342"/>
      <c r="L67" s="342"/>
    </row>
    <row r="68" spans="1:12" s="217" customFormat="1" ht="20.100000000000001" customHeight="1">
      <c r="A68" s="213" t="s">
        <v>170</v>
      </c>
      <c r="B68" s="143">
        <v>1110</v>
      </c>
      <c r="C68" s="118">
        <f t="shared" ref="C68:E68" si="6">SUM(C69:C75)</f>
        <v>684.7</v>
      </c>
      <c r="D68" s="118">
        <f t="shared" si="6"/>
        <v>851.4</v>
      </c>
      <c r="E68" s="118">
        <f t="shared" si="6"/>
        <v>789.11647899999991</v>
      </c>
      <c r="F68" s="118">
        <f>G68+H68+I68+J68</f>
        <v>1040</v>
      </c>
      <c r="G68" s="118">
        <f>SUM(G69:G75)</f>
        <v>265.2</v>
      </c>
      <c r="H68" s="118">
        <f>SUM(H69:H75)</f>
        <v>242.5</v>
      </c>
      <c r="I68" s="118">
        <f>SUM(I69:I75)</f>
        <v>232.9</v>
      </c>
      <c r="J68" s="118">
        <f>SUM(J69:J75)</f>
        <v>299.39999999999998</v>
      </c>
      <c r="K68" s="342"/>
      <c r="L68" s="342"/>
    </row>
    <row r="69" spans="1:12" s="2" customFormat="1" ht="20.100000000000001" customHeight="1">
      <c r="A69" s="8" t="s">
        <v>142</v>
      </c>
      <c r="B69" s="232">
        <v>1111</v>
      </c>
      <c r="C69" s="212"/>
      <c r="D69" s="218"/>
      <c r="E69" s="218"/>
      <c r="F69" s="218"/>
      <c r="G69" s="218"/>
      <c r="H69" s="218"/>
      <c r="I69" s="218"/>
      <c r="J69" s="218"/>
      <c r="K69" s="342"/>
      <c r="L69" s="342"/>
    </row>
    <row r="70" spans="1:12" s="2" customFormat="1" ht="20.100000000000001" customHeight="1">
      <c r="A70" s="8" t="s">
        <v>143</v>
      </c>
      <c r="B70" s="232">
        <v>1112</v>
      </c>
      <c r="C70" s="212"/>
      <c r="D70" s="218"/>
      <c r="E70" s="218"/>
      <c r="F70" s="218"/>
      <c r="G70" s="218"/>
      <c r="H70" s="218"/>
      <c r="I70" s="218"/>
      <c r="J70" s="218"/>
      <c r="K70" s="342"/>
      <c r="L70" s="342"/>
    </row>
    <row r="71" spans="1:12" s="2" customFormat="1" ht="20.100000000000001" customHeight="1">
      <c r="A71" s="8" t="s">
        <v>23</v>
      </c>
      <c r="B71" s="232">
        <v>1113</v>
      </c>
      <c r="C71" s="218">
        <v>403</v>
      </c>
      <c r="D71" s="218">
        <v>454.3</v>
      </c>
      <c r="E71" s="218">
        <f>[36]Зведена!$K$102/1000-95</f>
        <v>466.40694999999994</v>
      </c>
      <c r="F71" s="220">
        <f t="shared" ref="F71:F72" si="7">G71+H71+I71+J71</f>
        <v>570.4</v>
      </c>
      <c r="G71" s="220">
        <v>138.9</v>
      </c>
      <c r="H71" s="220">
        <v>138.9</v>
      </c>
      <c r="I71" s="220">
        <v>145.1</v>
      </c>
      <c r="J71" s="220">
        <v>147.5</v>
      </c>
      <c r="K71" s="342"/>
      <c r="L71" s="342"/>
    </row>
    <row r="72" spans="1:12" s="2" customFormat="1" ht="20.100000000000001" customHeight="1">
      <c r="A72" s="8" t="s">
        <v>267</v>
      </c>
      <c r="B72" s="214" t="s">
        <v>338</v>
      </c>
      <c r="C72" s="218">
        <v>80.8</v>
      </c>
      <c r="D72" s="218">
        <v>100</v>
      </c>
      <c r="E72" s="218">
        <f>E71*0.22</f>
        <v>102.60952899999998</v>
      </c>
      <c r="F72" s="220">
        <f t="shared" si="7"/>
        <v>125.6</v>
      </c>
      <c r="G72" s="220">
        <v>30.6</v>
      </c>
      <c r="H72" s="220">
        <v>30.6</v>
      </c>
      <c r="I72" s="220">
        <v>31.9</v>
      </c>
      <c r="J72" s="220">
        <v>32.5</v>
      </c>
      <c r="K72" s="342"/>
      <c r="L72" s="342"/>
    </row>
    <row r="73" spans="1:12" s="2" customFormat="1" ht="38.25" customHeight="1">
      <c r="A73" s="8" t="s">
        <v>46</v>
      </c>
      <c r="B73" s="232">
        <v>1114</v>
      </c>
      <c r="C73" s="218">
        <v>8</v>
      </c>
      <c r="D73" s="218">
        <v>100</v>
      </c>
      <c r="E73" s="218">
        <v>10</v>
      </c>
      <c r="F73" s="295">
        <f>G73+H73+I73+J73</f>
        <v>108.4</v>
      </c>
      <c r="G73" s="323">
        <v>27.1</v>
      </c>
      <c r="H73" s="330">
        <v>27.1</v>
      </c>
      <c r="I73" s="330">
        <v>27.1</v>
      </c>
      <c r="J73" s="330">
        <v>27.1</v>
      </c>
      <c r="K73" s="342"/>
      <c r="L73" s="342"/>
    </row>
    <row r="74" spans="1:12" s="2" customFormat="1" ht="20.100000000000001" customHeight="1">
      <c r="A74" s="8" t="s">
        <v>63</v>
      </c>
      <c r="B74" s="232">
        <v>1115</v>
      </c>
      <c r="C74" s="212"/>
      <c r="D74" s="218"/>
      <c r="E74" s="218"/>
      <c r="F74" s="218"/>
      <c r="G74" s="218"/>
      <c r="H74" s="218"/>
      <c r="I74" s="218"/>
      <c r="J74" s="218"/>
      <c r="K74" s="342"/>
      <c r="L74" s="342"/>
    </row>
    <row r="75" spans="1:12" s="2" customFormat="1" ht="20.100000000000001" customHeight="1">
      <c r="A75" s="8" t="s">
        <v>276</v>
      </c>
      <c r="B75" s="232">
        <v>1116</v>
      </c>
      <c r="C75" s="218">
        <f>C76+C77+C78+C79+C80+C81+C82+C83+C84</f>
        <v>192.9</v>
      </c>
      <c r="D75" s="218">
        <f t="shared" ref="D75" si="8">D76+D77+D78+D79+D80+D81+D82+D83+D84</f>
        <v>197.1</v>
      </c>
      <c r="E75" s="218">
        <f>E76+E77+E78+E79+E80+E81+E82+E83+E84</f>
        <v>210.10000000000002</v>
      </c>
      <c r="F75" s="343">
        <f>SUM(F76:F84)</f>
        <v>235.6</v>
      </c>
      <c r="G75" s="333">
        <f>SUM(G76:G84)</f>
        <v>68.600000000000009</v>
      </c>
      <c r="H75" s="343">
        <f>SUM(H76:H84)</f>
        <v>45.900000000000006</v>
      </c>
      <c r="I75" s="343">
        <f>SUM(I76:I84)</f>
        <v>28.8</v>
      </c>
      <c r="J75" s="343">
        <f>SUM(J76:J84)</f>
        <v>92.3</v>
      </c>
      <c r="K75" s="342"/>
      <c r="L75" s="342"/>
    </row>
    <row r="76" spans="1:12" s="226" customFormat="1" ht="20.100000000000001" customHeight="1">
      <c r="A76" s="219" t="s">
        <v>268</v>
      </c>
      <c r="B76" s="233" t="s">
        <v>329</v>
      </c>
      <c r="C76" s="220">
        <v>45</v>
      </c>
      <c r="D76" s="220">
        <v>48.7</v>
      </c>
      <c r="E76" s="220">
        <v>44.3</v>
      </c>
      <c r="F76" s="220">
        <f t="shared" ref="F76:F79" si="9">G76+H76+I76+J76</f>
        <v>60.199999999999996</v>
      </c>
      <c r="G76" s="220">
        <v>19.399999999999999</v>
      </c>
      <c r="H76" s="220">
        <v>1.9</v>
      </c>
      <c r="I76" s="220">
        <v>0</v>
      </c>
      <c r="J76" s="220">
        <v>38.9</v>
      </c>
      <c r="K76" s="342"/>
      <c r="L76" s="342"/>
    </row>
    <row r="77" spans="1:12" s="226" customFormat="1" ht="20.100000000000001" customHeight="1">
      <c r="A77" s="219" t="s">
        <v>47</v>
      </c>
      <c r="B77" s="233" t="s">
        <v>330</v>
      </c>
      <c r="C77" s="220">
        <v>11.6</v>
      </c>
      <c r="D77" s="220">
        <v>10.399999999999999</v>
      </c>
      <c r="E77" s="220">
        <v>13.6</v>
      </c>
      <c r="F77" s="220">
        <f t="shared" si="9"/>
        <v>14</v>
      </c>
      <c r="G77" s="220">
        <v>3.7</v>
      </c>
      <c r="H77" s="220">
        <v>2.5</v>
      </c>
      <c r="I77" s="220">
        <v>2.5</v>
      </c>
      <c r="J77" s="220">
        <v>5.3</v>
      </c>
      <c r="K77" s="342"/>
      <c r="L77" s="342"/>
    </row>
    <row r="78" spans="1:12" s="226" customFormat="1" ht="20.100000000000001" customHeight="1">
      <c r="A78" s="219" t="s">
        <v>270</v>
      </c>
      <c r="B78" s="233" t="s">
        <v>331</v>
      </c>
      <c r="C78" s="220">
        <v>0.2</v>
      </c>
      <c r="D78" s="220">
        <v>0.4</v>
      </c>
      <c r="E78" s="220">
        <v>0.5</v>
      </c>
      <c r="F78" s="220">
        <f t="shared" si="9"/>
        <v>0.60000000000000009</v>
      </c>
      <c r="G78" s="220">
        <v>0.1</v>
      </c>
      <c r="H78" s="220">
        <v>0.2</v>
      </c>
      <c r="I78" s="220">
        <v>0.1</v>
      </c>
      <c r="J78" s="220">
        <v>0.2</v>
      </c>
      <c r="K78" s="342"/>
      <c r="L78" s="342"/>
    </row>
    <row r="79" spans="1:12" s="226" customFormat="1" ht="20.100000000000001" customHeight="1">
      <c r="A79" s="219" t="s">
        <v>273</v>
      </c>
      <c r="B79" s="233" t="s">
        <v>332</v>
      </c>
      <c r="C79" s="220">
        <v>1.3</v>
      </c>
      <c r="D79" s="220">
        <v>1.6</v>
      </c>
      <c r="E79" s="220">
        <v>1</v>
      </c>
      <c r="F79" s="220">
        <f t="shared" si="9"/>
        <v>1.6</v>
      </c>
      <c r="G79" s="220">
        <v>0.4</v>
      </c>
      <c r="H79" s="220">
        <v>0.4</v>
      </c>
      <c r="I79" s="220">
        <v>0.4</v>
      </c>
      <c r="J79" s="220">
        <v>0.4</v>
      </c>
      <c r="K79" s="342"/>
      <c r="L79" s="342"/>
    </row>
    <row r="80" spans="1:12" s="226" customFormat="1" ht="20.100000000000001" customHeight="1">
      <c r="A80" s="219" t="s">
        <v>275</v>
      </c>
      <c r="B80" s="233" t="s">
        <v>333</v>
      </c>
      <c r="C80" s="220">
        <v>111.2</v>
      </c>
      <c r="D80" s="220">
        <v>107.9</v>
      </c>
      <c r="E80" s="220">
        <v>126.6</v>
      </c>
      <c r="F80" s="220">
        <f>G80+H80+I80+J80</f>
        <v>126.7</v>
      </c>
      <c r="G80" s="220">
        <v>37.1</v>
      </c>
      <c r="H80" s="220">
        <v>32.700000000000003</v>
      </c>
      <c r="I80" s="220">
        <v>17.600000000000001</v>
      </c>
      <c r="J80" s="220">
        <v>39.299999999999997</v>
      </c>
      <c r="K80" s="342"/>
      <c r="L80" s="342"/>
    </row>
    <row r="81" spans="1:12" s="226" customFormat="1" ht="20.100000000000001" customHeight="1">
      <c r="A81" s="219" t="s">
        <v>269</v>
      </c>
      <c r="B81" s="233" t="s">
        <v>334</v>
      </c>
      <c r="C81" s="220">
        <v>4.5</v>
      </c>
      <c r="D81" s="220">
        <v>5.6</v>
      </c>
      <c r="E81" s="220">
        <v>6.4</v>
      </c>
      <c r="F81" s="220">
        <f>G81+H81+I81+J81</f>
        <v>8</v>
      </c>
      <c r="G81" s="220">
        <v>2</v>
      </c>
      <c r="H81" s="220">
        <v>2</v>
      </c>
      <c r="I81" s="220">
        <v>2</v>
      </c>
      <c r="J81" s="220">
        <v>2</v>
      </c>
      <c r="K81" s="342"/>
      <c r="L81" s="342"/>
    </row>
    <row r="82" spans="1:12" s="226" customFormat="1" ht="20.100000000000001" customHeight="1">
      <c r="A82" s="219" t="s">
        <v>285</v>
      </c>
      <c r="B82" s="233" t="s">
        <v>335</v>
      </c>
      <c r="C82" s="220">
        <v>4.2</v>
      </c>
      <c r="D82" s="220">
        <v>4.4000000000000004</v>
      </c>
      <c r="E82" s="220">
        <v>4.4000000000000004</v>
      </c>
      <c r="F82" s="220">
        <f>G82+H82+I82+J82</f>
        <v>4.8</v>
      </c>
      <c r="G82" s="220">
        <v>0.9</v>
      </c>
      <c r="H82" s="220">
        <v>1.3</v>
      </c>
      <c r="I82" s="220">
        <v>1.3</v>
      </c>
      <c r="J82" s="220">
        <v>1.3</v>
      </c>
      <c r="K82" s="342"/>
      <c r="L82" s="342"/>
    </row>
    <row r="83" spans="1:12" s="226" customFormat="1" ht="20.100000000000001" customHeight="1">
      <c r="A83" s="219" t="s">
        <v>286</v>
      </c>
      <c r="B83" s="233" t="s">
        <v>336</v>
      </c>
      <c r="C83" s="220">
        <v>8.1</v>
      </c>
      <c r="D83" s="220">
        <v>10.1</v>
      </c>
      <c r="E83" s="220">
        <v>9.8000000000000007</v>
      </c>
      <c r="F83" s="220">
        <f>G83+H83+I83+J83</f>
        <v>10.899999999999999</v>
      </c>
      <c r="G83" s="220">
        <v>2.8</v>
      </c>
      <c r="H83" s="220">
        <v>2.7</v>
      </c>
      <c r="I83" s="220">
        <v>2.7</v>
      </c>
      <c r="J83" s="220">
        <v>2.7</v>
      </c>
      <c r="K83" s="342"/>
      <c r="L83" s="342"/>
    </row>
    <row r="84" spans="1:12" s="226" customFormat="1" ht="20.100000000000001" customHeight="1">
      <c r="A84" s="219" t="s">
        <v>152</v>
      </c>
      <c r="B84" s="233" t="s">
        <v>337</v>
      </c>
      <c r="C84" s="220">
        <v>6.8</v>
      </c>
      <c r="D84" s="220">
        <v>8</v>
      </c>
      <c r="E84" s="220">
        <v>3.5</v>
      </c>
      <c r="F84" s="220">
        <f>G84+H84+I84+J84</f>
        <v>8.8000000000000007</v>
      </c>
      <c r="G84" s="220">
        <v>2.2000000000000002</v>
      </c>
      <c r="H84" s="220">
        <v>2.2000000000000002</v>
      </c>
      <c r="I84" s="220">
        <v>2.2000000000000002</v>
      </c>
      <c r="J84" s="220">
        <v>2.2000000000000002</v>
      </c>
      <c r="K84" s="342"/>
      <c r="L84" s="342"/>
    </row>
    <row r="85" spans="1:12" s="217" customFormat="1" ht="39.75" customHeight="1">
      <c r="A85" s="336" t="s">
        <v>274</v>
      </c>
      <c r="B85" s="234">
        <v>1120</v>
      </c>
      <c r="C85" s="79">
        <f>SUM(C86:C90)</f>
        <v>105.39999999999999</v>
      </c>
      <c r="D85" s="79">
        <f t="shared" ref="D85:J85" si="10">D90</f>
        <v>121.2</v>
      </c>
      <c r="E85" s="79">
        <f t="shared" si="10"/>
        <v>65.5</v>
      </c>
      <c r="F85" s="79">
        <f t="shared" si="10"/>
        <v>77.800000000000011</v>
      </c>
      <c r="G85" s="79">
        <f>G90</f>
        <v>19.400000000000002</v>
      </c>
      <c r="H85" s="79">
        <f t="shared" si="10"/>
        <v>19.400000000000002</v>
      </c>
      <c r="I85" s="79">
        <f t="shared" si="10"/>
        <v>19.500000000000004</v>
      </c>
      <c r="J85" s="79">
        <f t="shared" si="10"/>
        <v>19.500000000000004</v>
      </c>
      <c r="K85" s="342"/>
      <c r="L85" s="342"/>
    </row>
    <row r="86" spans="1:12" s="2" customFormat="1" ht="20.100000000000001" customHeight="1">
      <c r="A86" s="8" t="s">
        <v>53</v>
      </c>
      <c r="B86" s="106">
        <v>1121</v>
      </c>
      <c r="C86" s="90"/>
      <c r="D86" s="90"/>
      <c r="E86" s="90"/>
      <c r="F86" s="90"/>
      <c r="G86" s="90"/>
      <c r="H86" s="90"/>
      <c r="I86" s="90"/>
      <c r="J86" s="90"/>
      <c r="K86" s="342"/>
      <c r="L86" s="342"/>
    </row>
    <row r="87" spans="1:12" s="2" customFormat="1" ht="20.100000000000001" customHeight="1">
      <c r="A87" s="8" t="s">
        <v>34</v>
      </c>
      <c r="B87" s="106">
        <v>1122</v>
      </c>
      <c r="C87" s="90"/>
      <c r="D87" s="90"/>
      <c r="E87" s="90"/>
      <c r="F87" s="90"/>
      <c r="G87" s="90"/>
      <c r="H87" s="90"/>
      <c r="I87" s="90"/>
      <c r="J87" s="90"/>
      <c r="K87" s="342"/>
      <c r="L87" s="342"/>
    </row>
    <row r="88" spans="1:12" s="2" customFormat="1" ht="42.75" customHeight="1">
      <c r="A88" s="8" t="s">
        <v>44</v>
      </c>
      <c r="B88" s="106">
        <v>1123</v>
      </c>
      <c r="C88" s="90"/>
      <c r="D88" s="90"/>
      <c r="E88" s="90"/>
      <c r="F88" s="90"/>
      <c r="G88" s="90"/>
      <c r="H88" s="90"/>
      <c r="I88" s="90"/>
      <c r="J88" s="90"/>
      <c r="K88" s="342"/>
      <c r="L88" s="342"/>
    </row>
    <row r="89" spans="1:12" s="2" customFormat="1" ht="20.100000000000001" customHeight="1">
      <c r="A89" s="8" t="s">
        <v>163</v>
      </c>
      <c r="B89" s="106">
        <v>1124</v>
      </c>
      <c r="C89" s="90"/>
      <c r="D89" s="90"/>
      <c r="E89" s="90"/>
      <c r="F89" s="90"/>
      <c r="G89" s="90"/>
      <c r="H89" s="90"/>
      <c r="I89" s="90"/>
      <c r="J89" s="90"/>
      <c r="K89" s="342"/>
      <c r="L89" s="342"/>
    </row>
    <row r="90" spans="1:12" s="2" customFormat="1" ht="39" customHeight="1">
      <c r="A90" s="227" t="s">
        <v>278</v>
      </c>
      <c r="B90" s="106">
        <v>1125</v>
      </c>
      <c r="C90" s="218">
        <f>C91+C92+C93</f>
        <v>105.39999999999999</v>
      </c>
      <c r="D90" s="218">
        <f>D91+D92+D93</f>
        <v>121.2</v>
      </c>
      <c r="E90" s="218">
        <f>E91+E92+E93</f>
        <v>65.5</v>
      </c>
      <c r="F90" s="290">
        <f>F91+F92+F93+F94+F95</f>
        <v>77.800000000000011</v>
      </c>
      <c r="G90" s="333">
        <f>G91+G92+G93+G94+G95</f>
        <v>19.400000000000002</v>
      </c>
      <c r="H90" s="333">
        <f>H91+H92+H93+H94+H95</f>
        <v>19.400000000000002</v>
      </c>
      <c r="I90" s="333">
        <f>I91+I92+I93+I94+I95</f>
        <v>19.500000000000004</v>
      </c>
      <c r="J90" s="333">
        <f>J91+J92+J93+J94+J95</f>
        <v>19.500000000000004</v>
      </c>
      <c r="K90" s="342"/>
      <c r="L90" s="342"/>
    </row>
    <row r="91" spans="1:12" s="2" customFormat="1" ht="20.100000000000001" customHeight="1">
      <c r="A91" s="137" t="s">
        <v>374</v>
      </c>
      <c r="B91" s="240"/>
      <c r="C91" s="220"/>
      <c r="D91" s="220">
        <v>0.4</v>
      </c>
      <c r="E91" s="220">
        <v>0.3</v>
      </c>
      <c r="F91" s="220">
        <f>G91+H91+I91+J91</f>
        <v>0.4</v>
      </c>
      <c r="G91" s="220">
        <v>0.1</v>
      </c>
      <c r="H91" s="220">
        <v>0.1</v>
      </c>
      <c r="I91" s="220">
        <v>0.1</v>
      </c>
      <c r="J91" s="220">
        <v>0.1</v>
      </c>
      <c r="K91" s="342"/>
      <c r="L91" s="342"/>
    </row>
    <row r="92" spans="1:12" s="254" customFormat="1" ht="20.100000000000001" customHeight="1">
      <c r="A92" s="274" t="s">
        <v>378</v>
      </c>
      <c r="B92" s="275"/>
      <c r="C92" s="276">
        <v>104.6</v>
      </c>
      <c r="D92" s="276">
        <v>120</v>
      </c>
      <c r="E92" s="276">
        <f>16*4</f>
        <v>64</v>
      </c>
      <c r="F92" s="276">
        <f>G92+H92+I92+J92</f>
        <v>72</v>
      </c>
      <c r="G92" s="276">
        <v>18</v>
      </c>
      <c r="H92" s="276">
        <v>18</v>
      </c>
      <c r="I92" s="276">
        <v>18</v>
      </c>
      <c r="J92" s="276">
        <v>18</v>
      </c>
      <c r="K92" s="342"/>
      <c r="L92" s="342"/>
    </row>
    <row r="93" spans="1:12" s="2" customFormat="1" ht="20.25" customHeight="1">
      <c r="A93" s="137" t="s">
        <v>375</v>
      </c>
      <c r="B93" s="240"/>
      <c r="C93" s="220">
        <v>0.8</v>
      </c>
      <c r="D93" s="220">
        <v>0.8</v>
      </c>
      <c r="E93" s="220">
        <f>0.3*4</f>
        <v>1.2</v>
      </c>
      <c r="F93" s="220">
        <f>G93+H93+I93+J93</f>
        <v>1.2</v>
      </c>
      <c r="G93" s="220">
        <v>0.3</v>
      </c>
      <c r="H93" s="220">
        <v>0.3</v>
      </c>
      <c r="I93" s="220">
        <v>0.3</v>
      </c>
      <c r="J93" s="220">
        <v>0.3</v>
      </c>
      <c r="K93" s="342"/>
      <c r="L93" s="342"/>
    </row>
    <row r="94" spans="1:12" s="2" customFormat="1" ht="20.100000000000001" customHeight="1">
      <c r="A94" s="137" t="s">
        <v>371</v>
      </c>
      <c r="B94" s="240"/>
      <c r="C94" s="220"/>
      <c r="D94" s="220"/>
      <c r="E94" s="220"/>
      <c r="F94" s="220"/>
      <c r="G94" s="220"/>
      <c r="H94" s="220"/>
      <c r="I94" s="220"/>
      <c r="J94" s="220"/>
      <c r="K94" s="342"/>
      <c r="L94" s="342"/>
    </row>
    <row r="95" spans="1:12" s="2" customFormat="1" ht="20.100000000000001" customHeight="1">
      <c r="A95" s="137" t="s">
        <v>377</v>
      </c>
      <c r="B95" s="240"/>
      <c r="C95" s="220"/>
      <c r="D95" s="220"/>
      <c r="E95" s="220"/>
      <c r="F95" s="220">
        <f>G95+H95+I95+J95</f>
        <v>4.2</v>
      </c>
      <c r="G95" s="220">
        <v>1</v>
      </c>
      <c r="H95" s="220">
        <v>1</v>
      </c>
      <c r="I95" s="220">
        <v>1.1000000000000001</v>
      </c>
      <c r="J95" s="220">
        <v>1.1000000000000001</v>
      </c>
      <c r="K95" s="342"/>
      <c r="L95" s="342"/>
    </row>
    <row r="96" spans="1:12" s="73" customFormat="1" ht="39.75" customHeight="1">
      <c r="A96" s="72" t="s">
        <v>241</v>
      </c>
      <c r="B96" s="337">
        <v>1130</v>
      </c>
      <c r="C96" s="155">
        <f>C35+C36-C37-C68-C85</f>
        <v>42.899999999999281</v>
      </c>
      <c r="D96" s="155">
        <f>D35+D36-D37-D68-D85</f>
        <v>39.99000000000153</v>
      </c>
      <c r="E96" s="155">
        <f>E35+E36-E37-E68-E85</f>
        <v>33.537429113075973</v>
      </c>
      <c r="F96" s="155">
        <f>F35+F36-F37-F68-F85</f>
        <v>27.949999999999989</v>
      </c>
      <c r="G96" s="155">
        <f>G35+G36-G37-G68-G85</f>
        <v>7.9999999999999183</v>
      </c>
      <c r="H96" s="155">
        <f>H35+H36-H37-H68-H85+0.1</f>
        <v>6.2000000000004523</v>
      </c>
      <c r="I96" s="155">
        <f>I35+I36-I37-I68-I85</f>
        <v>6.5500000000000362</v>
      </c>
      <c r="J96" s="155">
        <f>J35+J36-J37-J68-J85-0.1</f>
        <v>7.1999999999996103</v>
      </c>
      <c r="K96" s="342"/>
      <c r="L96" s="342"/>
    </row>
    <row r="97" spans="1:19" s="217" customFormat="1" ht="21.75" customHeight="1">
      <c r="A97" s="213" t="s">
        <v>88</v>
      </c>
      <c r="B97" s="234">
        <v>1140</v>
      </c>
      <c r="C97" s="208"/>
      <c r="D97" s="157"/>
      <c r="E97" s="79"/>
      <c r="F97" s="79"/>
      <c r="G97" s="79"/>
      <c r="H97" s="79"/>
      <c r="I97" s="79"/>
      <c r="J97" s="79"/>
      <c r="K97" s="342"/>
      <c r="L97" s="342"/>
    </row>
    <row r="98" spans="1:19" s="217" customFormat="1" ht="22.5" customHeight="1">
      <c r="A98" s="213" t="s">
        <v>89</v>
      </c>
      <c r="B98" s="234">
        <v>1150</v>
      </c>
      <c r="C98" s="207"/>
      <c r="D98" s="79"/>
      <c r="E98" s="79"/>
      <c r="F98" s="79"/>
      <c r="G98" s="79"/>
      <c r="H98" s="79"/>
      <c r="I98" s="79"/>
      <c r="J98" s="79"/>
      <c r="K98" s="342"/>
      <c r="L98" s="342"/>
    </row>
    <row r="99" spans="1:19" s="217" customFormat="1" ht="38.25" customHeight="1">
      <c r="A99" s="213" t="s">
        <v>164</v>
      </c>
      <c r="B99" s="234">
        <v>1160</v>
      </c>
      <c r="C99" s="208"/>
      <c r="D99" s="157"/>
      <c r="E99" s="79"/>
      <c r="F99" s="79"/>
      <c r="G99" s="79"/>
      <c r="H99" s="79"/>
      <c r="I99" s="79"/>
      <c r="J99" s="79"/>
      <c r="K99" s="342"/>
      <c r="L99" s="342"/>
    </row>
    <row r="100" spans="1:19" s="217" customFormat="1" ht="36" customHeight="1">
      <c r="A100" s="213" t="s">
        <v>165</v>
      </c>
      <c r="B100" s="234">
        <v>1170</v>
      </c>
      <c r="C100" s="207"/>
      <c r="D100" s="79"/>
      <c r="E100" s="79"/>
      <c r="F100" s="79"/>
      <c r="G100" s="79"/>
      <c r="H100" s="79"/>
      <c r="I100" s="79"/>
      <c r="J100" s="79"/>
      <c r="K100" s="342"/>
      <c r="L100" s="342"/>
    </row>
    <row r="101" spans="1:19" s="73" customFormat="1" ht="43.5" customHeight="1">
      <c r="A101" s="196" t="s">
        <v>242</v>
      </c>
      <c r="B101" s="338">
        <v>1200</v>
      </c>
      <c r="C101" s="197">
        <f>C96</f>
        <v>42.899999999999281</v>
      </c>
      <c r="D101" s="197">
        <f t="shared" ref="D101:J101" si="11">D96+D97+D99-D98-D100</f>
        <v>39.99000000000153</v>
      </c>
      <c r="E101" s="197">
        <f>E96+E97+E99-E98-E100</f>
        <v>33.537429113075973</v>
      </c>
      <c r="F101" s="197">
        <f t="shared" si="11"/>
        <v>27.949999999999989</v>
      </c>
      <c r="G101" s="197">
        <f t="shared" si="11"/>
        <v>7.9999999999999183</v>
      </c>
      <c r="H101" s="197">
        <f t="shared" si="11"/>
        <v>6.2000000000004523</v>
      </c>
      <c r="I101" s="197">
        <f t="shared" si="11"/>
        <v>6.5500000000000362</v>
      </c>
      <c r="J101" s="197">
        <f t="shared" si="11"/>
        <v>7.1999999999996103</v>
      </c>
      <c r="K101" s="342"/>
      <c r="L101" s="342"/>
    </row>
    <row r="102" spans="1:19" s="217" customFormat="1" ht="23.25" customHeight="1">
      <c r="A102" s="8" t="s">
        <v>109</v>
      </c>
      <c r="B102" s="232">
        <v>1210</v>
      </c>
      <c r="C102" s="218">
        <v>7.8</v>
      </c>
      <c r="D102" s="218">
        <v>7.2</v>
      </c>
      <c r="E102" s="218">
        <f t="shared" ref="E102" si="12">E101*0.18</f>
        <v>6.0367372403536752</v>
      </c>
      <c r="F102" s="218">
        <f>G102+H102+I102+J102</f>
        <v>5</v>
      </c>
      <c r="G102" s="299">
        <f>ROUND(G101*0.18,1)</f>
        <v>1.4</v>
      </c>
      <c r="H102" s="331">
        <f>ROUND(H101*0.18,1)</f>
        <v>1.1000000000000001</v>
      </c>
      <c r="I102" s="331">
        <f>ROUND(I101*0.18,1)</f>
        <v>1.2</v>
      </c>
      <c r="J102" s="331">
        <f>ROUND(J101*0.18,1)</f>
        <v>1.3</v>
      </c>
      <c r="K102" s="342"/>
      <c r="L102" s="342"/>
    </row>
    <row r="103" spans="1:19" s="217" customFormat="1" ht="37.5">
      <c r="A103" s="8" t="s">
        <v>110</v>
      </c>
      <c r="B103" s="232">
        <v>1220</v>
      </c>
      <c r="C103" s="212"/>
      <c r="D103" s="218"/>
      <c r="E103" s="218"/>
      <c r="F103" s="218"/>
      <c r="G103" s="218"/>
      <c r="H103" s="218"/>
      <c r="I103" s="218"/>
      <c r="J103" s="218"/>
      <c r="K103" s="342"/>
      <c r="L103" s="342"/>
    </row>
    <row r="104" spans="1:19" s="73" customFormat="1" ht="41.25" customHeight="1">
      <c r="A104" s="72" t="s">
        <v>244</v>
      </c>
      <c r="B104" s="338">
        <v>1230</v>
      </c>
      <c r="C104" s="197">
        <f t="shared" ref="C104:J104" si="13">C101-C102</f>
        <v>35.099999999999284</v>
      </c>
      <c r="D104" s="197">
        <f t="shared" si="13"/>
        <v>32.790000000001527</v>
      </c>
      <c r="E104" s="197">
        <f t="shared" si="13"/>
        <v>27.5006918727223</v>
      </c>
      <c r="F104" s="197">
        <f>F101-F102</f>
        <v>22.949999999999989</v>
      </c>
      <c r="G104" s="197">
        <f>G101-G102</f>
        <v>6.5999999999999179</v>
      </c>
      <c r="H104" s="197">
        <f t="shared" si="13"/>
        <v>5.1000000000004526</v>
      </c>
      <c r="I104" s="197">
        <f t="shared" si="13"/>
        <v>5.3500000000000361</v>
      </c>
      <c r="J104" s="197">
        <f t="shared" si="13"/>
        <v>5.8999999999996104</v>
      </c>
      <c r="K104" s="342"/>
      <c r="L104" s="342"/>
    </row>
    <row r="105" spans="1:19" s="5" customFormat="1" ht="20.100000000000001" customHeight="1">
      <c r="A105" s="383" t="s">
        <v>197</v>
      </c>
      <c r="B105" s="383"/>
      <c r="C105" s="383"/>
      <c r="D105" s="383"/>
      <c r="E105" s="383"/>
      <c r="F105" s="383"/>
      <c r="G105" s="383"/>
      <c r="H105" s="383"/>
      <c r="I105" s="383"/>
      <c r="J105" s="383"/>
      <c r="K105" s="342"/>
      <c r="L105" s="342"/>
    </row>
    <row r="106" spans="1:19" s="217" customFormat="1" ht="20.100000000000001" customHeight="1">
      <c r="A106" s="8" t="s">
        <v>6</v>
      </c>
      <c r="B106" s="106">
        <v>1240</v>
      </c>
      <c r="C106" s="218">
        <f t="shared" ref="C106:J106" si="14">C13+C36+C97+C99</f>
        <v>15485.199999999999</v>
      </c>
      <c r="D106" s="218">
        <f t="shared" si="14"/>
        <v>15217</v>
      </c>
      <c r="E106" s="218">
        <f t="shared" si="14"/>
        <v>17588.5</v>
      </c>
      <c r="F106" s="79">
        <f t="shared" si="14"/>
        <v>21846.350000000002</v>
      </c>
      <c r="G106" s="218">
        <f t="shared" si="14"/>
        <v>5038</v>
      </c>
      <c r="H106" s="218">
        <f t="shared" si="14"/>
        <v>5864.2000000000007</v>
      </c>
      <c r="I106" s="218">
        <f t="shared" si="14"/>
        <v>5405.45</v>
      </c>
      <c r="J106" s="218">
        <f t="shared" si="14"/>
        <v>5538.7</v>
      </c>
      <c r="K106" s="342"/>
      <c r="L106" s="342"/>
    </row>
    <row r="107" spans="1:19" s="217" customFormat="1" ht="20.100000000000001" customHeight="1">
      <c r="A107" s="8" t="s">
        <v>93</v>
      </c>
      <c r="B107" s="106">
        <v>1250</v>
      </c>
      <c r="C107" s="218">
        <f>C14+C37+C68+C85+C102</f>
        <v>15450.099999999999</v>
      </c>
      <c r="D107" s="218">
        <f t="shared" ref="D107:J107" si="15">D14+D37+D68+D85+D98+D100+D102</f>
        <v>15184.21</v>
      </c>
      <c r="E107" s="218">
        <f t="shared" si="15"/>
        <v>17560.999308127277</v>
      </c>
      <c r="F107" s="79">
        <f>F14+F37+F68+F85+F98+F100+F102</f>
        <v>21823.399999999998</v>
      </c>
      <c r="G107" s="218">
        <f>G14+G37+G68+G85+G98+G100+G102</f>
        <v>5031.3999999999987</v>
      </c>
      <c r="H107" s="218">
        <f t="shared" si="15"/>
        <v>5859.2000000000007</v>
      </c>
      <c r="I107" s="218">
        <f t="shared" si="15"/>
        <v>5400.0999999999995</v>
      </c>
      <c r="J107" s="218">
        <f t="shared" si="15"/>
        <v>5532.7</v>
      </c>
      <c r="K107" s="342"/>
      <c r="L107" s="342"/>
    </row>
    <row r="108" spans="1:19" ht="20.100000000000001" customHeight="1">
      <c r="A108" s="383" t="s">
        <v>172</v>
      </c>
      <c r="B108" s="383"/>
      <c r="C108" s="383"/>
      <c r="D108" s="383"/>
      <c r="E108" s="383"/>
      <c r="F108" s="383"/>
      <c r="G108" s="383"/>
      <c r="H108" s="383"/>
      <c r="I108" s="383"/>
      <c r="J108" s="383"/>
      <c r="K108" s="342"/>
      <c r="L108" s="342"/>
    </row>
    <row r="109" spans="1:19" s="217" customFormat="1" ht="20.100000000000001" customHeight="1">
      <c r="A109" s="8" t="s">
        <v>198</v>
      </c>
      <c r="B109" s="145">
        <v>1260</v>
      </c>
      <c r="C109" s="86">
        <f t="shared" ref="C109:J109" si="16">C110+C111</f>
        <v>5923.2000000000007</v>
      </c>
      <c r="D109" s="86">
        <f t="shared" si="16"/>
        <v>4892.7</v>
      </c>
      <c r="E109" s="86">
        <f t="shared" si="16"/>
        <v>5001.8</v>
      </c>
      <c r="F109" s="86">
        <f>F110+F111</f>
        <v>5598.9</v>
      </c>
      <c r="G109" s="86">
        <f t="shared" si="16"/>
        <v>1354.8000000000002</v>
      </c>
      <c r="H109" s="86">
        <f>H110+H111</f>
        <v>1430</v>
      </c>
      <c r="I109" s="86">
        <f t="shared" si="16"/>
        <v>1314.9</v>
      </c>
      <c r="J109" s="86">
        <f t="shared" si="16"/>
        <v>1499.2</v>
      </c>
      <c r="K109" s="342"/>
      <c r="L109" s="342"/>
    </row>
    <row r="110" spans="1:19" s="217" customFormat="1" ht="21" customHeight="1">
      <c r="A110" s="8" t="s">
        <v>196</v>
      </c>
      <c r="B110" s="145">
        <v>1261</v>
      </c>
      <c r="C110" s="86">
        <v>3365.6000000000004</v>
      </c>
      <c r="D110" s="333">
        <f>D15+D30+D63+D78+D79+D62</f>
        <v>2263.7999999999997</v>
      </c>
      <c r="E110" s="333">
        <f>E15+E30+E63+E78+E79+E62</f>
        <v>2351.8000000000002</v>
      </c>
      <c r="F110" s="289">
        <f>F15+F30+F63+F78+F79+F62</f>
        <v>2453.7000000000003</v>
      </c>
      <c r="G110" s="289">
        <f>G15+G30+G63+G78+G79+G62</f>
        <v>611.70000000000005</v>
      </c>
      <c r="H110" s="289">
        <f t="shared" ref="H110:J110" si="17">H15+H30+H63+H78+H79+H62</f>
        <v>572.50000000000011</v>
      </c>
      <c r="I110" s="289">
        <f t="shared" si="17"/>
        <v>653.30000000000007</v>
      </c>
      <c r="J110" s="289">
        <f t="shared" si="17"/>
        <v>616.20000000000005</v>
      </c>
      <c r="K110" s="342"/>
      <c r="L110" s="342"/>
    </row>
    <row r="111" spans="1:19" s="217" customFormat="1" ht="20.100000000000001" customHeight="1">
      <c r="A111" s="8" t="s">
        <v>11</v>
      </c>
      <c r="B111" s="145">
        <v>1262</v>
      </c>
      <c r="C111" s="86">
        <v>2557.6</v>
      </c>
      <c r="D111" s="86">
        <v>2628.9</v>
      </c>
      <c r="E111" s="289">
        <f>ROUND(E16+E17+E31+E61+E76+E77+(143.9)+0.2,1)</f>
        <v>2650</v>
      </c>
      <c r="F111" s="289">
        <f>ROUND(F16+F17+F31+F61+F76+F77+('5. Інша інформація'!I73)+0.2,1)</f>
        <v>3145.2</v>
      </c>
      <c r="G111" s="289">
        <f>ROUND(G16+G17+G31+G61+G76+G77+('5. Інша інформація'!I73/4),1)</f>
        <v>743.1</v>
      </c>
      <c r="H111" s="289">
        <f>ROUND(H16+H17+H31+H61+H76+H77+('5. Інша інформація'!I73/4),1)</f>
        <v>857.5</v>
      </c>
      <c r="I111" s="289">
        <f>ROUND(I16+I17+I31+I61+I76+I77+('5. Інша інформація'!I73/4),1)</f>
        <v>661.6</v>
      </c>
      <c r="J111" s="289">
        <f>ROUND(J16+J17+J31+J61+J76+J77+('5. Інша інформація'!I73/4),1)</f>
        <v>883</v>
      </c>
      <c r="K111" s="342"/>
      <c r="L111" s="342"/>
    </row>
    <row r="112" spans="1:19" s="217" customFormat="1" ht="20.100000000000001" customHeight="1">
      <c r="A112" s="8" t="s">
        <v>2</v>
      </c>
      <c r="B112" s="145">
        <v>1270</v>
      </c>
      <c r="C112" s="333">
        <v>6961.0000000000009</v>
      </c>
      <c r="D112" s="86">
        <v>7436.7999999999993</v>
      </c>
      <c r="E112" s="333">
        <f>E18+E45+E71+63.8-6.9-2.1</f>
        <v>9139.261489999999</v>
      </c>
      <c r="F112" s="289">
        <f>ROUND(F18+F45+F71+'[37]5. Інша інформація'!J73,1)</f>
        <v>11189.5</v>
      </c>
      <c r="G112" s="289">
        <f>ROUND(G18+G45+G71+'[37]5. Інша інформація'!J73/4,1)</f>
        <v>2664.6</v>
      </c>
      <c r="H112" s="289">
        <f>ROUND(H18+H45+H71+'[37]5. Інша інформація'!J73/4,1)</f>
        <v>2734.6</v>
      </c>
      <c r="I112" s="289">
        <f>ROUND(I18+I45+I71+'[37]5. Інша інформація'!J73/4,1)</f>
        <v>2844.9</v>
      </c>
      <c r="J112" s="289">
        <f>ROUND(J18+J45+J71+'[37]5. Інша інформація'!J73/4,1)</f>
        <v>2945.4</v>
      </c>
      <c r="K112" s="342"/>
      <c r="L112" s="342"/>
      <c r="M112" s="242"/>
      <c r="N112" s="242"/>
      <c r="O112" s="242"/>
      <c r="P112" s="242"/>
      <c r="Q112" s="242"/>
      <c r="R112" s="242"/>
      <c r="S112" s="242"/>
    </row>
    <row r="113" spans="1:12" s="217" customFormat="1" ht="20.100000000000001" customHeight="1">
      <c r="A113" s="8" t="s">
        <v>3</v>
      </c>
      <c r="B113" s="145">
        <v>1280</v>
      </c>
      <c r="C113" s="333">
        <v>1510.5</v>
      </c>
      <c r="D113" s="86">
        <v>1636.1099999999997</v>
      </c>
      <c r="E113" s="333">
        <f>E112*0.22</f>
        <v>2010.6375277999998</v>
      </c>
      <c r="F113" s="289">
        <f>ROUND((F19+F46+F72+'[37]5. Інша інформація'!L73-0.2),1)</f>
        <v>2461.6</v>
      </c>
      <c r="G113" s="289">
        <v>586.20000000000005</v>
      </c>
      <c r="H113" s="289">
        <v>601.6</v>
      </c>
      <c r="I113" s="289">
        <v>625.79999999999995</v>
      </c>
      <c r="J113" s="289">
        <v>648</v>
      </c>
      <c r="K113" s="342"/>
      <c r="L113" s="342"/>
    </row>
    <row r="114" spans="1:12" s="217" customFormat="1" ht="20.100000000000001" customHeight="1">
      <c r="A114" s="8" t="s">
        <v>4</v>
      </c>
      <c r="B114" s="145">
        <v>1290</v>
      </c>
      <c r="C114" s="86">
        <v>298</v>
      </c>
      <c r="D114" s="86">
        <v>295.60000000000002</v>
      </c>
      <c r="E114" s="289">
        <f>ROUND(E25+E47+E73+1.4,1)</f>
        <v>205.8</v>
      </c>
      <c r="F114" s="289">
        <f>ROUND(F25+F47+F73+'5. Інша інформація'!M73,1)</f>
        <v>316.8</v>
      </c>
      <c r="G114" s="289">
        <f>G25+G47+G73+'5. Інша інформація'!M73/4</f>
        <v>79.2</v>
      </c>
      <c r="H114" s="289">
        <f>H25+H47+H73+'5. Інша інформація'!M73/4</f>
        <v>79.2</v>
      </c>
      <c r="I114" s="289">
        <f>I25+I47+I73+'5. Інша інформація'!M73/4</f>
        <v>79.2</v>
      </c>
      <c r="J114" s="289">
        <f>J25+J47+J73+'5. Інша інформація'!M73/4</f>
        <v>79.2</v>
      </c>
      <c r="K114" s="342"/>
      <c r="L114" s="342"/>
    </row>
    <row r="115" spans="1:12" s="217" customFormat="1" ht="20.100000000000001" customHeight="1">
      <c r="A115" s="8" t="s">
        <v>12</v>
      </c>
      <c r="B115" s="145">
        <v>1300</v>
      </c>
      <c r="C115" s="86">
        <v>749.1</v>
      </c>
      <c r="D115" s="86">
        <v>915.80000000000007</v>
      </c>
      <c r="E115" s="333">
        <f>E27+E28+E29+E44+E49+E67+E65+E64+E80+E83+E85+E32+E42+E66+E84+E57+E81+E82</f>
        <v>1172.2030898100002</v>
      </c>
      <c r="F115" s="289">
        <f>ROUND(F116-F109-F112-F113-F114,1)</f>
        <v>2251.6</v>
      </c>
      <c r="G115" s="289">
        <f>ROUND(G116-G109-G112-G113-G114,1)</f>
        <v>345.2</v>
      </c>
      <c r="H115" s="289">
        <f>ROUND(H116-H109-H112-H113-H114,1)</f>
        <v>1012.7</v>
      </c>
      <c r="I115" s="289">
        <f>ROUND(I116-I109-I112-I113-I114,1)</f>
        <v>534.1</v>
      </c>
      <c r="J115" s="289">
        <f>ROUND(J116-J109-J112-J113-J114,1)</f>
        <v>359.6</v>
      </c>
      <c r="K115" s="342"/>
      <c r="L115" s="342"/>
    </row>
    <row r="116" spans="1:12" s="5" customFormat="1" ht="24.75" customHeight="1">
      <c r="A116" s="195" t="s">
        <v>40</v>
      </c>
      <c r="B116" s="199">
        <v>1310</v>
      </c>
      <c r="C116" s="157">
        <f>C109+C112+C113+C114+C115</f>
        <v>15441.800000000001</v>
      </c>
      <c r="D116" s="198">
        <f>D109+D112+D113+D114+D115</f>
        <v>15177.01</v>
      </c>
      <c r="E116" s="198">
        <f>E109+E112+E113+E114+E115</f>
        <v>17529.702107609999</v>
      </c>
      <c r="F116" s="198">
        <f>F107-F98-F100-F102</f>
        <v>21818.399999999998</v>
      </c>
      <c r="G116" s="198">
        <f>G107-G98-G100-G102</f>
        <v>5029.9999999999991</v>
      </c>
      <c r="H116" s="198">
        <f>H107-H98-H100-H102</f>
        <v>5858.1</v>
      </c>
      <c r="I116" s="198">
        <f>I107-I98-I100-I102</f>
        <v>5398.9</v>
      </c>
      <c r="J116" s="198">
        <f>J107-J98-J100-J102</f>
        <v>5531.4</v>
      </c>
      <c r="K116" s="342"/>
      <c r="L116" s="342"/>
    </row>
    <row r="117" spans="1:12" ht="39" customHeight="1">
      <c r="A117" s="261" t="s">
        <v>373</v>
      </c>
      <c r="B117" s="235"/>
      <c r="C117" s="388"/>
      <c r="D117" s="388"/>
      <c r="E117" s="388"/>
      <c r="F117" s="388"/>
      <c r="G117" s="236"/>
      <c r="H117" s="389" t="s">
        <v>316</v>
      </c>
      <c r="I117" s="389"/>
      <c r="J117" s="389"/>
    </row>
    <row r="118" spans="1:12" s="2" customFormat="1" ht="20.100000000000001" customHeight="1">
      <c r="A118" s="326" t="s">
        <v>407</v>
      </c>
      <c r="B118" s="125"/>
      <c r="C118" s="381" t="s">
        <v>408</v>
      </c>
      <c r="D118" s="381"/>
      <c r="E118" s="381"/>
      <c r="F118" s="381"/>
      <c r="G118" s="127"/>
      <c r="H118" s="382" t="s">
        <v>81</v>
      </c>
      <c r="I118" s="382"/>
      <c r="J118" s="382"/>
    </row>
    <row r="119" spans="1:12" ht="20.100000000000001" customHeight="1">
      <c r="A119" s="24"/>
      <c r="C119" s="28"/>
      <c r="D119" s="28"/>
      <c r="E119" s="28"/>
      <c r="F119" s="25"/>
      <c r="G119" s="25"/>
      <c r="H119" s="25"/>
      <c r="I119" s="25"/>
      <c r="J119" s="25"/>
    </row>
    <row r="120" spans="1:12">
      <c r="A120" s="24"/>
      <c r="C120" s="28"/>
      <c r="D120" s="28"/>
      <c r="E120" s="28"/>
      <c r="F120" s="25"/>
      <c r="G120" s="25"/>
      <c r="H120" s="25"/>
      <c r="I120" s="25"/>
      <c r="J120" s="25"/>
      <c r="L120" s="334"/>
    </row>
    <row r="121" spans="1:12">
      <c r="A121" s="24"/>
      <c r="C121" s="28"/>
      <c r="D121" s="28"/>
      <c r="E121" s="28"/>
      <c r="F121" s="25"/>
      <c r="G121" s="25"/>
      <c r="H121" s="25"/>
      <c r="I121" s="25"/>
      <c r="J121" s="25"/>
      <c r="L121" s="334"/>
    </row>
    <row r="122" spans="1:12">
      <c r="A122" s="24"/>
      <c r="C122" s="28"/>
      <c r="D122" s="28"/>
      <c r="E122" s="242"/>
      <c r="F122" s="242"/>
      <c r="G122" s="242"/>
      <c r="H122" s="242"/>
      <c r="I122" s="242"/>
      <c r="J122" s="242"/>
    </row>
    <row r="123" spans="1:12">
      <c r="A123" s="24"/>
      <c r="C123" s="28"/>
      <c r="D123" s="28"/>
      <c r="E123" s="242"/>
      <c r="F123" s="242"/>
      <c r="G123" s="242"/>
      <c r="H123" s="242"/>
      <c r="I123" s="242"/>
      <c r="J123" s="242"/>
    </row>
    <row r="124" spans="1:12">
      <c r="A124" s="24"/>
      <c r="C124" s="28"/>
      <c r="D124" s="28"/>
      <c r="E124" s="25"/>
      <c r="F124" s="25"/>
      <c r="G124" s="25"/>
      <c r="H124" s="25"/>
      <c r="I124" s="25"/>
      <c r="J124" s="25"/>
    </row>
    <row r="125" spans="1:12">
      <c r="A125" s="24"/>
      <c r="C125" s="28"/>
      <c r="D125" s="28"/>
      <c r="E125" s="28"/>
      <c r="F125" s="25"/>
      <c r="G125" s="25"/>
      <c r="H125" s="25"/>
      <c r="I125" s="25"/>
      <c r="J125" s="25"/>
    </row>
    <row r="126" spans="1:12">
      <c r="A126" s="24"/>
      <c r="C126" s="28"/>
      <c r="D126" s="28"/>
      <c r="E126" s="28"/>
      <c r="F126" s="25"/>
      <c r="G126" s="25"/>
      <c r="H126" s="25"/>
      <c r="I126" s="25"/>
      <c r="J126" s="25"/>
    </row>
    <row r="127" spans="1:12">
      <c r="A127" s="24"/>
      <c r="C127" s="28"/>
      <c r="D127" s="28"/>
      <c r="E127" s="28"/>
      <c r="F127" s="25"/>
      <c r="G127" s="25"/>
      <c r="H127" s="25"/>
      <c r="I127" s="25"/>
      <c r="J127" s="25"/>
    </row>
    <row r="128" spans="1:12">
      <c r="A128" s="24"/>
      <c r="C128" s="28"/>
      <c r="D128" s="28"/>
      <c r="E128" s="28"/>
      <c r="F128" s="25"/>
      <c r="G128" s="25"/>
      <c r="H128" s="25"/>
      <c r="I128" s="25"/>
      <c r="J128" s="25"/>
    </row>
    <row r="129" spans="1:10">
      <c r="A129" s="24"/>
      <c r="C129" s="28"/>
      <c r="D129" s="28"/>
      <c r="E129" s="28"/>
      <c r="F129" s="25"/>
      <c r="G129" s="25"/>
      <c r="H129" s="25"/>
      <c r="I129" s="25"/>
      <c r="J129" s="25"/>
    </row>
    <row r="130" spans="1:10">
      <c r="A130" s="24"/>
      <c r="C130" s="28"/>
      <c r="D130" s="28"/>
      <c r="E130" s="28"/>
      <c r="F130" s="25"/>
      <c r="G130" s="25"/>
      <c r="H130" s="25"/>
      <c r="I130" s="25"/>
      <c r="J130" s="25"/>
    </row>
    <row r="131" spans="1:10">
      <c r="A131" s="24"/>
      <c r="C131" s="28"/>
      <c r="D131" s="28"/>
      <c r="E131" s="28"/>
      <c r="F131" s="25"/>
      <c r="G131" s="25"/>
      <c r="H131" s="25"/>
      <c r="I131" s="25"/>
      <c r="J131" s="25"/>
    </row>
    <row r="132" spans="1:10">
      <c r="A132" s="24"/>
      <c r="C132" s="28"/>
      <c r="D132" s="28"/>
      <c r="E132" s="244"/>
      <c r="F132" s="243"/>
      <c r="G132" s="25"/>
      <c r="H132" s="25"/>
      <c r="I132" s="25"/>
      <c r="J132" s="25"/>
    </row>
    <row r="133" spans="1:10">
      <c r="A133" s="24"/>
      <c r="C133" s="28"/>
      <c r="D133" s="28"/>
      <c r="E133" s="244"/>
      <c r="F133" s="243"/>
      <c r="G133" s="25"/>
      <c r="H133" s="25"/>
      <c r="I133" s="25"/>
      <c r="J133" s="25"/>
    </row>
    <row r="134" spans="1:10">
      <c r="A134" s="24"/>
      <c r="C134" s="28"/>
      <c r="D134" s="28"/>
      <c r="E134" s="244"/>
      <c r="F134" s="243"/>
      <c r="G134" s="25"/>
      <c r="H134" s="25"/>
      <c r="I134" s="25"/>
      <c r="J134" s="25"/>
    </row>
    <row r="135" spans="1:10">
      <c r="A135" s="24"/>
      <c r="C135" s="28"/>
      <c r="D135" s="28"/>
      <c r="E135" s="244"/>
      <c r="F135" s="243"/>
      <c r="G135" s="25"/>
      <c r="H135" s="25"/>
      <c r="I135" s="25"/>
      <c r="J135" s="25"/>
    </row>
    <row r="136" spans="1:10">
      <c r="A136" s="24"/>
      <c r="C136" s="28"/>
      <c r="D136" s="28"/>
      <c r="E136" s="28"/>
      <c r="F136" s="25"/>
      <c r="G136" s="25"/>
      <c r="H136" s="25"/>
      <c r="I136" s="25"/>
      <c r="J136" s="25"/>
    </row>
    <row r="137" spans="1:10">
      <c r="A137" s="24"/>
      <c r="C137" s="28"/>
      <c r="D137" s="28"/>
      <c r="E137" s="28"/>
      <c r="F137" s="25"/>
      <c r="G137" s="25"/>
      <c r="H137" s="25"/>
      <c r="I137" s="25"/>
      <c r="J137" s="25"/>
    </row>
    <row r="138" spans="1:10">
      <c r="A138" s="24"/>
      <c r="C138" s="28"/>
      <c r="D138" s="28"/>
      <c r="E138" s="28"/>
      <c r="F138" s="25"/>
      <c r="G138" s="25"/>
      <c r="H138" s="25"/>
      <c r="I138" s="25"/>
      <c r="J138" s="25"/>
    </row>
    <row r="139" spans="1:10">
      <c r="A139" s="24"/>
      <c r="C139" s="28"/>
      <c r="D139" s="28"/>
      <c r="E139" s="28"/>
      <c r="F139" s="25"/>
      <c r="G139" s="25"/>
      <c r="H139" s="25"/>
      <c r="I139" s="25"/>
      <c r="J139" s="25"/>
    </row>
    <row r="140" spans="1:10">
      <c r="A140" s="24"/>
      <c r="C140" s="28"/>
      <c r="D140" s="28"/>
      <c r="E140" s="28"/>
      <c r="F140" s="25"/>
      <c r="G140" s="25"/>
      <c r="H140" s="25"/>
      <c r="I140" s="25"/>
      <c r="J140" s="25"/>
    </row>
    <row r="141" spans="1:10">
      <c r="A141" s="24"/>
      <c r="C141" s="28"/>
      <c r="D141" s="28"/>
      <c r="E141" s="28"/>
      <c r="F141" s="25"/>
      <c r="G141" s="25"/>
      <c r="H141" s="25"/>
      <c r="I141" s="25"/>
      <c r="J141" s="25"/>
    </row>
    <row r="142" spans="1:10">
      <c r="A142" s="24"/>
      <c r="C142" s="28"/>
      <c r="D142" s="28"/>
      <c r="E142" s="28"/>
      <c r="F142" s="25"/>
      <c r="G142" s="25"/>
      <c r="H142" s="25"/>
      <c r="I142" s="25"/>
      <c r="J142" s="25"/>
    </row>
    <row r="143" spans="1:10">
      <c r="A143" s="24"/>
      <c r="C143" s="28"/>
      <c r="D143" s="28"/>
      <c r="E143" s="28"/>
      <c r="F143" s="25"/>
      <c r="G143" s="25"/>
      <c r="H143" s="25"/>
      <c r="I143" s="25"/>
      <c r="J143" s="25"/>
    </row>
    <row r="144" spans="1:10">
      <c r="A144" s="24"/>
      <c r="C144" s="28"/>
      <c r="D144" s="28"/>
      <c r="E144" s="28"/>
      <c r="F144" s="25"/>
      <c r="G144" s="25"/>
      <c r="H144" s="25"/>
      <c r="I144" s="25"/>
      <c r="J144" s="25"/>
    </row>
    <row r="145" spans="1:10">
      <c r="A145" s="24"/>
      <c r="C145" s="28"/>
      <c r="D145" s="28"/>
      <c r="E145" s="28"/>
      <c r="F145" s="25"/>
      <c r="G145" s="25"/>
      <c r="H145" s="25"/>
      <c r="I145" s="25"/>
      <c r="J145" s="25"/>
    </row>
    <row r="146" spans="1:10">
      <c r="A146" s="24"/>
      <c r="C146" s="28"/>
      <c r="D146" s="28"/>
      <c r="E146" s="28"/>
      <c r="F146" s="25"/>
      <c r="G146" s="25"/>
      <c r="H146" s="25"/>
      <c r="I146" s="25"/>
      <c r="J146" s="25"/>
    </row>
    <row r="147" spans="1:10">
      <c r="A147" s="24"/>
      <c r="C147" s="28"/>
      <c r="D147" s="28"/>
      <c r="E147" s="28"/>
      <c r="F147" s="25"/>
      <c r="G147" s="25"/>
      <c r="H147" s="25"/>
      <c r="I147" s="25"/>
      <c r="J147" s="25"/>
    </row>
    <row r="148" spans="1:10">
      <c r="A148" s="24"/>
      <c r="C148" s="28"/>
      <c r="D148" s="28"/>
      <c r="E148" s="28"/>
      <c r="F148" s="25"/>
      <c r="G148" s="25"/>
      <c r="H148" s="25"/>
      <c r="I148" s="25"/>
      <c r="J148" s="25"/>
    </row>
    <row r="149" spans="1:10">
      <c r="A149" s="24"/>
      <c r="C149" s="28"/>
      <c r="D149" s="28"/>
      <c r="E149" s="28"/>
      <c r="F149" s="25"/>
      <c r="G149" s="25"/>
      <c r="H149" s="25"/>
      <c r="I149" s="25"/>
      <c r="J149" s="25"/>
    </row>
    <row r="150" spans="1:10">
      <c r="A150" s="24"/>
      <c r="C150" s="28"/>
      <c r="D150" s="28"/>
      <c r="E150" s="28"/>
      <c r="F150" s="25"/>
      <c r="G150" s="25"/>
      <c r="H150" s="25"/>
      <c r="I150" s="25"/>
      <c r="J150" s="25"/>
    </row>
    <row r="151" spans="1:10">
      <c r="A151" s="24"/>
      <c r="C151" s="28"/>
      <c r="D151" s="28"/>
      <c r="E151" s="28"/>
      <c r="F151" s="25"/>
      <c r="G151" s="25"/>
      <c r="H151" s="25"/>
      <c r="I151" s="25"/>
      <c r="J151" s="25"/>
    </row>
    <row r="152" spans="1:10">
      <c r="A152" s="24"/>
      <c r="C152" s="28"/>
      <c r="D152" s="28"/>
      <c r="E152" s="28"/>
      <c r="F152" s="25"/>
      <c r="G152" s="25"/>
      <c r="H152" s="25"/>
      <c r="I152" s="25"/>
      <c r="J152" s="25"/>
    </row>
    <row r="153" spans="1:10">
      <c r="A153" s="24"/>
      <c r="C153" s="28"/>
      <c r="D153" s="28"/>
      <c r="E153" s="28"/>
      <c r="F153" s="25"/>
      <c r="G153" s="25"/>
      <c r="H153" s="25"/>
      <c r="I153" s="25"/>
      <c r="J153" s="25"/>
    </row>
    <row r="154" spans="1:10">
      <c r="A154" s="24"/>
      <c r="C154" s="28"/>
      <c r="D154" s="28"/>
      <c r="E154" s="28"/>
      <c r="F154" s="25"/>
      <c r="G154" s="25"/>
      <c r="H154" s="25"/>
      <c r="I154" s="25"/>
      <c r="J154" s="25"/>
    </row>
    <row r="155" spans="1:10">
      <c r="A155" s="24"/>
      <c r="C155" s="28"/>
      <c r="D155" s="28"/>
      <c r="E155" s="28"/>
      <c r="F155" s="25"/>
      <c r="G155" s="25"/>
      <c r="H155" s="25"/>
      <c r="I155" s="25"/>
      <c r="J155" s="25"/>
    </row>
    <row r="156" spans="1:10">
      <c r="A156" s="24"/>
      <c r="C156" s="28"/>
      <c r="D156" s="28"/>
      <c r="E156" s="28"/>
      <c r="F156" s="25"/>
      <c r="G156" s="25"/>
      <c r="H156" s="25"/>
      <c r="I156" s="25"/>
      <c r="J156" s="25"/>
    </row>
    <row r="157" spans="1:10">
      <c r="A157" s="24"/>
      <c r="C157" s="28"/>
      <c r="D157" s="28"/>
      <c r="E157" s="28"/>
      <c r="F157" s="25"/>
      <c r="G157" s="25"/>
      <c r="H157" s="25"/>
      <c r="I157" s="25"/>
      <c r="J157" s="25"/>
    </row>
    <row r="158" spans="1:10">
      <c r="A158" s="24"/>
      <c r="C158" s="28"/>
      <c r="D158" s="28"/>
      <c r="E158" s="28"/>
      <c r="F158" s="25"/>
      <c r="G158" s="25"/>
      <c r="H158" s="25"/>
      <c r="I158" s="25"/>
      <c r="J158" s="25"/>
    </row>
    <row r="159" spans="1:10">
      <c r="A159" s="24"/>
      <c r="C159" s="28"/>
      <c r="D159" s="28"/>
      <c r="E159" s="28"/>
      <c r="F159" s="25"/>
      <c r="G159" s="25"/>
      <c r="H159" s="25"/>
      <c r="I159" s="25"/>
      <c r="J159" s="25"/>
    </row>
    <row r="160" spans="1:10">
      <c r="A160" s="24"/>
      <c r="C160" s="28"/>
      <c r="D160" s="28"/>
      <c r="E160" s="28"/>
      <c r="F160" s="25"/>
      <c r="G160" s="25"/>
      <c r="H160" s="25"/>
      <c r="I160" s="25"/>
      <c r="J160" s="25"/>
    </row>
    <row r="161" spans="1:10">
      <c r="A161" s="24"/>
      <c r="C161" s="28"/>
      <c r="D161" s="28"/>
      <c r="E161" s="28"/>
      <c r="F161" s="25"/>
      <c r="G161" s="25"/>
      <c r="H161" s="25"/>
      <c r="I161" s="25"/>
      <c r="J161" s="25"/>
    </row>
    <row r="162" spans="1:10">
      <c r="A162" s="24"/>
      <c r="C162" s="28"/>
      <c r="D162" s="28"/>
      <c r="E162" s="28"/>
      <c r="F162" s="25"/>
      <c r="G162" s="25"/>
      <c r="H162" s="25"/>
      <c r="I162" s="25"/>
      <c r="J162" s="25"/>
    </row>
    <row r="163" spans="1:10">
      <c r="A163" s="24"/>
      <c r="C163" s="28"/>
      <c r="D163" s="28"/>
      <c r="E163" s="28"/>
      <c r="F163" s="25"/>
      <c r="G163" s="25"/>
      <c r="H163" s="25"/>
      <c r="I163" s="25"/>
      <c r="J163" s="25"/>
    </row>
    <row r="164" spans="1:10">
      <c r="A164" s="24"/>
      <c r="C164" s="28"/>
      <c r="D164" s="28"/>
      <c r="E164" s="28"/>
      <c r="F164" s="25"/>
      <c r="G164" s="25"/>
      <c r="H164" s="25"/>
      <c r="I164" s="25"/>
      <c r="J164" s="25"/>
    </row>
    <row r="165" spans="1:10">
      <c r="A165" s="24"/>
      <c r="C165" s="28"/>
      <c r="D165" s="28"/>
      <c r="E165" s="28"/>
      <c r="F165" s="25"/>
      <c r="G165" s="25"/>
      <c r="H165" s="25"/>
      <c r="I165" s="25"/>
      <c r="J165" s="25"/>
    </row>
    <row r="166" spans="1:10">
      <c r="A166" s="24"/>
      <c r="C166" s="28"/>
      <c r="D166" s="28"/>
      <c r="E166" s="28"/>
      <c r="F166" s="25"/>
      <c r="G166" s="25"/>
      <c r="H166" s="25"/>
      <c r="I166" s="25"/>
      <c r="J166" s="25"/>
    </row>
    <row r="167" spans="1:10">
      <c r="A167" s="24"/>
      <c r="C167" s="28"/>
      <c r="D167" s="28"/>
      <c r="E167" s="28"/>
      <c r="F167" s="25"/>
      <c r="G167" s="25"/>
      <c r="H167" s="25"/>
      <c r="I167" s="25"/>
      <c r="J167" s="25"/>
    </row>
    <row r="168" spans="1:10">
      <c r="A168" s="24"/>
      <c r="C168" s="28"/>
      <c r="D168" s="28"/>
      <c r="E168" s="28"/>
      <c r="F168" s="25"/>
      <c r="G168" s="25"/>
      <c r="H168" s="25"/>
      <c r="I168" s="25"/>
      <c r="J168" s="25"/>
    </row>
    <row r="169" spans="1:10">
      <c r="A169" s="24"/>
      <c r="C169" s="28"/>
      <c r="D169" s="28"/>
      <c r="E169" s="28"/>
      <c r="F169" s="25"/>
      <c r="G169" s="25"/>
      <c r="H169" s="25"/>
      <c r="I169" s="25"/>
      <c r="J169" s="25"/>
    </row>
    <row r="170" spans="1:10">
      <c r="A170" s="24"/>
      <c r="C170" s="28"/>
      <c r="D170" s="28"/>
      <c r="E170" s="28"/>
      <c r="F170" s="25"/>
      <c r="G170" s="25"/>
      <c r="H170" s="25"/>
      <c r="I170" s="25"/>
      <c r="J170" s="25"/>
    </row>
    <row r="171" spans="1:10">
      <c r="A171" s="24"/>
      <c r="C171" s="28"/>
      <c r="D171" s="28"/>
      <c r="E171" s="28"/>
      <c r="F171" s="25"/>
      <c r="G171" s="25"/>
      <c r="H171" s="25"/>
      <c r="I171" s="25"/>
      <c r="J171" s="25"/>
    </row>
    <row r="172" spans="1:10">
      <c r="A172" s="24"/>
      <c r="C172" s="28"/>
      <c r="D172" s="28"/>
      <c r="E172" s="28"/>
      <c r="F172" s="25"/>
      <c r="G172" s="25"/>
      <c r="H172" s="25"/>
      <c r="I172" s="25"/>
      <c r="J172" s="25"/>
    </row>
    <row r="173" spans="1:10">
      <c r="A173" s="24"/>
      <c r="C173" s="28"/>
      <c r="D173" s="28"/>
      <c r="E173" s="28"/>
      <c r="F173" s="25"/>
      <c r="G173" s="25"/>
      <c r="H173" s="25"/>
      <c r="I173" s="25"/>
      <c r="J173" s="25"/>
    </row>
    <row r="174" spans="1:10">
      <c r="A174" s="24"/>
      <c r="C174" s="28"/>
      <c r="D174" s="28"/>
      <c r="E174" s="28"/>
      <c r="F174" s="25"/>
      <c r="G174" s="25"/>
      <c r="H174" s="25"/>
      <c r="I174" s="25"/>
      <c r="J174" s="25"/>
    </row>
    <row r="175" spans="1:10">
      <c r="A175" s="24"/>
      <c r="C175" s="28"/>
      <c r="D175" s="28"/>
      <c r="E175" s="28"/>
      <c r="F175" s="25"/>
      <c r="G175" s="25"/>
      <c r="H175" s="25"/>
      <c r="I175" s="25"/>
      <c r="J175" s="25"/>
    </row>
    <row r="176" spans="1:10">
      <c r="A176" s="24"/>
      <c r="C176" s="28"/>
      <c r="D176" s="28"/>
      <c r="E176" s="28"/>
      <c r="F176" s="25"/>
      <c r="G176" s="25"/>
      <c r="H176" s="25"/>
      <c r="I176" s="25"/>
      <c r="J176" s="25"/>
    </row>
    <row r="177" spans="1:1">
      <c r="A177" s="37"/>
    </row>
    <row r="178" spans="1:1">
      <c r="A178" s="37"/>
    </row>
    <row r="179" spans="1:1">
      <c r="A179" s="37"/>
    </row>
    <row r="180" spans="1:1">
      <c r="A180" s="37"/>
    </row>
    <row r="181" spans="1:1">
      <c r="A181" s="37"/>
    </row>
    <row r="182" spans="1:1">
      <c r="A182" s="37"/>
    </row>
    <row r="183" spans="1:1">
      <c r="A183" s="37"/>
    </row>
    <row r="184" spans="1:1">
      <c r="A184" s="37"/>
    </row>
    <row r="185" spans="1:1">
      <c r="A185" s="37"/>
    </row>
    <row r="186" spans="1:1">
      <c r="A186" s="37"/>
    </row>
    <row r="187" spans="1:1">
      <c r="A187" s="37"/>
    </row>
    <row r="188" spans="1:1">
      <c r="A188" s="37"/>
    </row>
    <row r="189" spans="1:1">
      <c r="A189" s="37"/>
    </row>
    <row r="190" spans="1:1">
      <c r="A190" s="37"/>
    </row>
    <row r="191" spans="1:1">
      <c r="A191" s="37"/>
    </row>
    <row r="192" spans="1:1">
      <c r="A192" s="37"/>
    </row>
    <row r="193" spans="1:1">
      <c r="A193" s="37"/>
    </row>
    <row r="194" spans="1:1">
      <c r="A194" s="37"/>
    </row>
    <row r="195" spans="1:1">
      <c r="A195" s="37"/>
    </row>
    <row r="196" spans="1:1">
      <c r="A196" s="37"/>
    </row>
    <row r="197" spans="1:1">
      <c r="A197" s="37"/>
    </row>
    <row r="198" spans="1:1">
      <c r="A198" s="37"/>
    </row>
    <row r="199" spans="1:1">
      <c r="A199" s="37"/>
    </row>
    <row r="200" spans="1:1">
      <c r="A200" s="37"/>
    </row>
    <row r="201" spans="1:1">
      <c r="A201" s="37"/>
    </row>
    <row r="202" spans="1:1">
      <c r="A202" s="37"/>
    </row>
    <row r="203" spans="1:1">
      <c r="A203" s="37"/>
    </row>
    <row r="204" spans="1:1">
      <c r="A204" s="37"/>
    </row>
    <row r="205" spans="1:1">
      <c r="A205" s="37"/>
    </row>
    <row r="206" spans="1:1">
      <c r="A206" s="37"/>
    </row>
    <row r="207" spans="1:1">
      <c r="A207" s="37"/>
    </row>
    <row r="208" spans="1:1">
      <c r="A208" s="37"/>
    </row>
    <row r="209" spans="1:1">
      <c r="A209" s="37"/>
    </row>
    <row r="210" spans="1:1">
      <c r="A210" s="37"/>
    </row>
    <row r="211" spans="1:1">
      <c r="A211" s="37"/>
    </row>
    <row r="212" spans="1:1">
      <c r="A212" s="37"/>
    </row>
    <row r="213" spans="1:1">
      <c r="A213" s="37"/>
    </row>
    <row r="214" spans="1:1">
      <c r="A214" s="37"/>
    </row>
    <row r="215" spans="1:1">
      <c r="A215" s="37"/>
    </row>
    <row r="216" spans="1:1">
      <c r="A216" s="37"/>
    </row>
    <row r="217" spans="1:1">
      <c r="A217" s="37"/>
    </row>
    <row r="218" spans="1:1">
      <c r="A218" s="37"/>
    </row>
    <row r="219" spans="1:1">
      <c r="A219" s="37"/>
    </row>
    <row r="220" spans="1:1">
      <c r="A220" s="37"/>
    </row>
    <row r="221" spans="1:1">
      <c r="A221" s="37"/>
    </row>
    <row r="222" spans="1:1">
      <c r="A222" s="37"/>
    </row>
    <row r="223" spans="1:1">
      <c r="A223" s="37"/>
    </row>
    <row r="224" spans="1:1">
      <c r="A224" s="37"/>
    </row>
    <row r="225" spans="1:1">
      <c r="A225" s="37"/>
    </row>
    <row r="226" spans="1:1">
      <c r="A226" s="37"/>
    </row>
    <row r="227" spans="1:1">
      <c r="A227" s="37"/>
    </row>
    <row r="228" spans="1:1">
      <c r="A228" s="37"/>
    </row>
    <row r="229" spans="1:1">
      <c r="A229" s="37"/>
    </row>
    <row r="230" spans="1:1">
      <c r="A230" s="37"/>
    </row>
    <row r="231" spans="1:1">
      <c r="A231" s="37"/>
    </row>
    <row r="232" spans="1:1">
      <c r="A232" s="37"/>
    </row>
    <row r="233" spans="1:1">
      <c r="A233" s="37"/>
    </row>
    <row r="234" spans="1:1">
      <c r="A234" s="37"/>
    </row>
    <row r="235" spans="1:1">
      <c r="A235" s="37"/>
    </row>
    <row r="236" spans="1:1">
      <c r="A236" s="37"/>
    </row>
    <row r="237" spans="1:1">
      <c r="A237" s="37"/>
    </row>
    <row r="238" spans="1:1">
      <c r="A238" s="37"/>
    </row>
    <row r="239" spans="1:1">
      <c r="A239" s="37"/>
    </row>
    <row r="240" spans="1:1">
      <c r="A240" s="37"/>
    </row>
    <row r="241" spans="1:1">
      <c r="A241" s="37"/>
    </row>
    <row r="242" spans="1:1">
      <c r="A242" s="37"/>
    </row>
    <row r="243" spans="1:1">
      <c r="A243" s="37"/>
    </row>
    <row r="244" spans="1:1">
      <c r="A244" s="37"/>
    </row>
    <row r="245" spans="1:1">
      <c r="A245" s="37"/>
    </row>
    <row r="246" spans="1:1">
      <c r="A246" s="37"/>
    </row>
    <row r="247" spans="1:1">
      <c r="A247" s="37"/>
    </row>
    <row r="248" spans="1:1">
      <c r="A248" s="37"/>
    </row>
    <row r="249" spans="1:1">
      <c r="A249" s="37"/>
    </row>
    <row r="250" spans="1:1">
      <c r="A250" s="37"/>
    </row>
    <row r="251" spans="1:1">
      <c r="A251" s="37"/>
    </row>
    <row r="252" spans="1:1">
      <c r="A252" s="37"/>
    </row>
    <row r="253" spans="1:1">
      <c r="A253" s="37"/>
    </row>
    <row r="254" spans="1:1">
      <c r="A254" s="37"/>
    </row>
    <row r="255" spans="1:1">
      <c r="A255" s="37"/>
    </row>
    <row r="256" spans="1:1">
      <c r="A256" s="37"/>
    </row>
    <row r="257" spans="1:1">
      <c r="A257" s="37"/>
    </row>
    <row r="258" spans="1:1">
      <c r="A258" s="37"/>
    </row>
    <row r="259" spans="1:1">
      <c r="A259" s="37"/>
    </row>
    <row r="260" spans="1:1">
      <c r="A260" s="37"/>
    </row>
    <row r="261" spans="1:1">
      <c r="A261" s="37"/>
    </row>
    <row r="262" spans="1:1">
      <c r="A262" s="37"/>
    </row>
    <row r="263" spans="1:1">
      <c r="A263" s="37"/>
    </row>
    <row r="264" spans="1:1">
      <c r="A264" s="37"/>
    </row>
    <row r="265" spans="1:1">
      <c r="A265" s="37"/>
    </row>
    <row r="266" spans="1:1">
      <c r="A266" s="37"/>
    </row>
    <row r="267" spans="1:1">
      <c r="A267" s="37"/>
    </row>
    <row r="268" spans="1:1">
      <c r="A268" s="37"/>
    </row>
    <row r="269" spans="1:1">
      <c r="A269" s="37"/>
    </row>
    <row r="270" spans="1:1">
      <c r="A270" s="37"/>
    </row>
    <row r="271" spans="1:1">
      <c r="A271" s="37"/>
    </row>
    <row r="272" spans="1:1">
      <c r="A272" s="37"/>
    </row>
    <row r="273" spans="1:1">
      <c r="A273" s="37"/>
    </row>
    <row r="274" spans="1:1">
      <c r="A274" s="37"/>
    </row>
    <row r="275" spans="1:1">
      <c r="A275" s="37"/>
    </row>
    <row r="276" spans="1:1">
      <c r="A276" s="37"/>
    </row>
    <row r="277" spans="1:1">
      <c r="A277" s="37"/>
    </row>
    <row r="278" spans="1:1">
      <c r="A278" s="37"/>
    </row>
    <row r="279" spans="1:1">
      <c r="A279" s="37"/>
    </row>
    <row r="280" spans="1:1">
      <c r="A280" s="37"/>
    </row>
    <row r="281" spans="1:1">
      <c r="A281" s="37"/>
    </row>
    <row r="282" spans="1:1">
      <c r="A282" s="37"/>
    </row>
    <row r="283" spans="1:1">
      <c r="A283" s="37"/>
    </row>
    <row r="284" spans="1:1">
      <c r="A284" s="37"/>
    </row>
    <row r="285" spans="1:1">
      <c r="A285" s="37"/>
    </row>
    <row r="286" spans="1:1">
      <c r="A286" s="37"/>
    </row>
    <row r="287" spans="1:1">
      <c r="A287" s="37"/>
    </row>
    <row r="288" spans="1:1">
      <c r="A288" s="37"/>
    </row>
    <row r="289" spans="1:1">
      <c r="A289" s="37"/>
    </row>
    <row r="290" spans="1:1">
      <c r="A290" s="37"/>
    </row>
    <row r="291" spans="1:1">
      <c r="A291" s="37"/>
    </row>
    <row r="292" spans="1:1">
      <c r="A292" s="37"/>
    </row>
    <row r="293" spans="1:1">
      <c r="A293" s="37"/>
    </row>
    <row r="294" spans="1:1">
      <c r="A294" s="37"/>
    </row>
    <row r="295" spans="1:1">
      <c r="A295" s="37"/>
    </row>
    <row r="296" spans="1:1">
      <c r="A296" s="37"/>
    </row>
    <row r="297" spans="1:1">
      <c r="A297" s="37"/>
    </row>
    <row r="298" spans="1:1">
      <c r="A298" s="37"/>
    </row>
    <row r="299" spans="1:1">
      <c r="A299" s="37"/>
    </row>
    <row r="300" spans="1:1">
      <c r="A300" s="37"/>
    </row>
    <row r="301" spans="1:1">
      <c r="A301" s="37"/>
    </row>
    <row r="302" spans="1:1">
      <c r="A302" s="37"/>
    </row>
    <row r="303" spans="1:1">
      <c r="A303" s="37"/>
    </row>
    <row r="304" spans="1:1">
      <c r="A304" s="37"/>
    </row>
    <row r="305" spans="1:1">
      <c r="A305" s="37"/>
    </row>
    <row r="306" spans="1:1">
      <c r="A306" s="37"/>
    </row>
    <row r="307" spans="1:1">
      <c r="A307" s="37"/>
    </row>
    <row r="308" spans="1:1">
      <c r="A308" s="37"/>
    </row>
    <row r="309" spans="1:1">
      <c r="A309" s="37"/>
    </row>
    <row r="310" spans="1:1">
      <c r="A310" s="37"/>
    </row>
    <row r="311" spans="1:1">
      <c r="A311" s="37"/>
    </row>
    <row r="312" spans="1:1">
      <c r="A312" s="37"/>
    </row>
    <row r="313" spans="1:1">
      <c r="A313" s="37"/>
    </row>
    <row r="314" spans="1:1">
      <c r="A314" s="37"/>
    </row>
    <row r="315" spans="1:1">
      <c r="A315" s="37"/>
    </row>
    <row r="316" spans="1:1">
      <c r="A316" s="37"/>
    </row>
    <row r="317" spans="1:1">
      <c r="A317" s="37"/>
    </row>
    <row r="318" spans="1:1">
      <c r="A318" s="37"/>
    </row>
    <row r="319" spans="1:1">
      <c r="A319" s="37"/>
    </row>
    <row r="320" spans="1:1">
      <c r="A320" s="37"/>
    </row>
    <row r="321" spans="1:1">
      <c r="A321" s="37"/>
    </row>
    <row r="322" spans="1:1">
      <c r="A322" s="37"/>
    </row>
    <row r="323" spans="1:1">
      <c r="A323" s="37"/>
    </row>
    <row r="324" spans="1:1">
      <c r="A324" s="37"/>
    </row>
    <row r="325" spans="1:1">
      <c r="A325" s="37"/>
    </row>
    <row r="326" spans="1:1">
      <c r="A326" s="37"/>
    </row>
    <row r="327" spans="1:1">
      <c r="A327" s="37"/>
    </row>
    <row r="328" spans="1:1">
      <c r="A328" s="37"/>
    </row>
    <row r="329" spans="1:1">
      <c r="A329" s="37"/>
    </row>
    <row r="330" spans="1:1">
      <c r="A330" s="37"/>
    </row>
    <row r="331" spans="1:1">
      <c r="A331" s="37"/>
    </row>
    <row r="332" spans="1:1">
      <c r="A332" s="37"/>
    </row>
    <row r="333" spans="1:1">
      <c r="A333" s="37"/>
    </row>
    <row r="334" spans="1:1">
      <c r="A334" s="37"/>
    </row>
    <row r="335" spans="1:1">
      <c r="A335" s="37"/>
    </row>
    <row r="336" spans="1:1">
      <c r="A336" s="37"/>
    </row>
    <row r="337" spans="1:1">
      <c r="A337" s="37"/>
    </row>
    <row r="338" spans="1:1">
      <c r="A338" s="37"/>
    </row>
    <row r="339" spans="1:1">
      <c r="A339" s="37"/>
    </row>
    <row r="340" spans="1:1">
      <c r="A340" s="37"/>
    </row>
    <row r="341" spans="1:1">
      <c r="A341" s="37"/>
    </row>
    <row r="342" spans="1:1">
      <c r="A342" s="37"/>
    </row>
    <row r="343" spans="1:1">
      <c r="A343" s="37"/>
    </row>
  </sheetData>
  <mergeCells count="15">
    <mergeCell ref="A1:J1"/>
    <mergeCell ref="C3:C4"/>
    <mergeCell ref="C118:F118"/>
    <mergeCell ref="H118:J118"/>
    <mergeCell ref="A6:J6"/>
    <mergeCell ref="A105:J105"/>
    <mergeCell ref="B3:B4"/>
    <mergeCell ref="A3:A4"/>
    <mergeCell ref="D3:D4"/>
    <mergeCell ref="G3:J3"/>
    <mergeCell ref="E3:E4"/>
    <mergeCell ref="A108:J108"/>
    <mergeCell ref="C117:F117"/>
    <mergeCell ref="H117:J117"/>
    <mergeCell ref="F3:F4"/>
  </mergeCells>
  <phoneticPr fontId="0" type="noConversion"/>
  <printOptions horizontalCentered="1"/>
  <pageMargins left="0.51181102362204722" right="0.19685039370078741" top="0.43307086614173229" bottom="0.19685039370078741" header="0.19685039370078741" footer="0.11811023622047245"/>
  <pageSetup paperSize="9" scale="58" orientation="portrait" verticalDpi="300" r:id="rId1"/>
  <headerFooter alignWithMargins="0">
    <oddHeader>&amp;C&amp;"Times New Roman,обычный"&amp;16 &amp;18 5&amp;R&amp;"Times New Roman,обычный"&amp;14 Продовження додатка 1</oddHeader>
  </headerFooter>
  <rowBreaks count="1" manualBreakCount="1">
    <brk id="61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L193"/>
  <sheetViews>
    <sheetView view="pageBreakPreview" topLeftCell="A25" zoomScale="50" zoomScaleNormal="75" zoomScaleSheetLayoutView="50" workbookViewId="0">
      <selection activeCell="D38" sqref="D38"/>
    </sheetView>
  </sheetViews>
  <sheetFormatPr defaultColWidth="77.85546875" defaultRowHeight="18.75" outlineLevelRow="1"/>
  <cols>
    <col min="1" max="1" width="42" style="32" customWidth="1"/>
    <col min="2" max="2" width="10.7109375" style="35" customWidth="1"/>
    <col min="3" max="3" width="12.7109375" style="35" customWidth="1"/>
    <col min="4" max="4" width="14.42578125" style="35" customWidth="1"/>
    <col min="5" max="5" width="12.28515625" style="35" customWidth="1"/>
    <col min="6" max="6" width="13.42578125" style="32" customWidth="1"/>
    <col min="7" max="7" width="12.7109375" style="32" customWidth="1"/>
    <col min="8" max="8" width="12.140625" style="32" customWidth="1"/>
    <col min="9" max="9" width="12.85546875" style="32" customWidth="1"/>
    <col min="10" max="10" width="14.140625" style="32" customWidth="1"/>
    <col min="11" max="11" width="10" style="32" customWidth="1"/>
    <col min="12" max="12" width="13" style="32" customWidth="1"/>
    <col min="13" max="255" width="9.140625" style="32" customWidth="1"/>
    <col min="256" max="16384" width="77.85546875" style="32"/>
  </cols>
  <sheetData>
    <row r="2" spans="1:10">
      <c r="A2" s="398" t="s">
        <v>119</v>
      </c>
      <c r="B2" s="398"/>
      <c r="C2" s="398"/>
      <c r="D2" s="398"/>
      <c r="E2" s="398"/>
      <c r="F2" s="398"/>
      <c r="G2" s="398"/>
      <c r="H2" s="398"/>
      <c r="I2" s="398"/>
      <c r="J2" s="398"/>
    </row>
    <row r="3" spans="1:10" outlineLevel="1">
      <c r="A3" s="31"/>
      <c r="B3" s="40"/>
      <c r="C3" s="31"/>
      <c r="D3" s="31"/>
      <c r="E3" s="31"/>
      <c r="F3" s="31"/>
      <c r="G3" s="31"/>
      <c r="H3" s="31"/>
      <c r="I3" s="31"/>
      <c r="J3" s="31"/>
    </row>
    <row r="4" spans="1:10" ht="38.25" customHeight="1">
      <c r="A4" s="399" t="s">
        <v>182</v>
      </c>
      <c r="B4" s="400" t="s">
        <v>5</v>
      </c>
      <c r="C4" s="401" t="s">
        <v>399</v>
      </c>
      <c r="D4" s="401" t="s">
        <v>400</v>
      </c>
      <c r="E4" s="384" t="s">
        <v>359</v>
      </c>
      <c r="F4" s="403" t="s">
        <v>361</v>
      </c>
      <c r="G4" s="404" t="s">
        <v>264</v>
      </c>
      <c r="H4" s="404"/>
      <c r="I4" s="404"/>
      <c r="J4" s="404"/>
    </row>
    <row r="5" spans="1:10" ht="33.75" customHeight="1">
      <c r="A5" s="399"/>
      <c r="B5" s="400"/>
      <c r="C5" s="402"/>
      <c r="D5" s="405"/>
      <c r="E5" s="384" t="s">
        <v>355</v>
      </c>
      <c r="F5" s="403"/>
      <c r="G5" s="13" t="s">
        <v>144</v>
      </c>
      <c r="H5" s="13" t="s">
        <v>145</v>
      </c>
      <c r="I5" s="13" t="s">
        <v>146</v>
      </c>
      <c r="J5" s="13" t="s">
        <v>55</v>
      </c>
    </row>
    <row r="6" spans="1:10" ht="18" customHeight="1">
      <c r="A6" s="38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39">
        <v>7</v>
      </c>
      <c r="H6" s="39">
        <v>8</v>
      </c>
      <c r="I6" s="39">
        <v>9</v>
      </c>
      <c r="J6" s="39">
        <v>10</v>
      </c>
    </row>
    <row r="7" spans="1:10" ht="24.95" customHeight="1">
      <c r="A7" s="394" t="s">
        <v>116</v>
      </c>
      <c r="B7" s="394"/>
      <c r="C7" s="394"/>
      <c r="D7" s="394"/>
      <c r="E7" s="394"/>
      <c r="F7" s="394"/>
      <c r="G7" s="394"/>
      <c r="H7" s="394"/>
      <c r="I7" s="394"/>
      <c r="J7" s="394"/>
    </row>
    <row r="8" spans="1:10" ht="63.75" customHeight="1">
      <c r="A8" s="33" t="s">
        <v>42</v>
      </c>
      <c r="B8" s="7">
        <v>2000</v>
      </c>
      <c r="C8" s="84">
        <v>224</v>
      </c>
      <c r="D8" s="84">
        <v>216.3</v>
      </c>
      <c r="E8" s="84">
        <f>C16</f>
        <v>254</v>
      </c>
      <c r="F8" s="84">
        <f>E16</f>
        <v>259</v>
      </c>
      <c r="G8" s="84">
        <f>E16</f>
        <v>259</v>
      </c>
      <c r="H8" s="84">
        <v>226.3</v>
      </c>
      <c r="I8" s="84">
        <v>236.3</v>
      </c>
      <c r="J8" s="84">
        <v>246.3</v>
      </c>
    </row>
    <row r="9" spans="1:10" ht="40.5" customHeight="1">
      <c r="A9" s="33" t="s">
        <v>245</v>
      </c>
      <c r="B9" s="7">
        <v>2010</v>
      </c>
      <c r="C9" s="87"/>
      <c r="D9" s="87"/>
      <c r="E9" s="87"/>
      <c r="F9" s="87"/>
      <c r="G9" s="87"/>
      <c r="H9" s="87"/>
      <c r="I9" s="87"/>
      <c r="J9" s="87"/>
    </row>
    <row r="10" spans="1:10" ht="20.100000000000001" customHeight="1">
      <c r="A10" s="8" t="s">
        <v>147</v>
      </c>
      <c r="B10" s="7">
        <v>2020</v>
      </c>
      <c r="C10" s="87"/>
      <c r="D10" s="87"/>
      <c r="E10" s="87"/>
      <c r="F10" s="87"/>
      <c r="G10" s="87"/>
      <c r="H10" s="87"/>
      <c r="I10" s="87"/>
      <c r="J10" s="87"/>
    </row>
    <row r="11" spans="1:10" s="34" customFormat="1" ht="20.100000000000001" customHeight="1">
      <c r="A11" s="33" t="s">
        <v>52</v>
      </c>
      <c r="B11" s="7">
        <v>2030</v>
      </c>
      <c r="C11" s="87"/>
      <c r="D11" s="87"/>
      <c r="E11" s="87"/>
      <c r="F11" s="87"/>
      <c r="G11" s="87"/>
      <c r="H11" s="87"/>
      <c r="I11" s="87"/>
      <c r="J11" s="87"/>
    </row>
    <row r="12" spans="1:10" ht="37.5" customHeight="1">
      <c r="A12" s="33" t="s">
        <v>104</v>
      </c>
      <c r="B12" s="7">
        <v>2031</v>
      </c>
      <c r="C12" s="87"/>
      <c r="D12" s="87"/>
      <c r="E12" s="87"/>
      <c r="F12" s="87"/>
      <c r="G12" s="87"/>
      <c r="H12" s="87"/>
      <c r="I12" s="87"/>
      <c r="J12" s="87"/>
    </row>
    <row r="13" spans="1:10" ht="20.100000000000001" customHeight="1">
      <c r="A13" s="33" t="s">
        <v>9</v>
      </c>
      <c r="B13" s="7">
        <v>2040</v>
      </c>
      <c r="C13" s="89"/>
      <c r="D13" s="89"/>
      <c r="E13" s="89"/>
      <c r="F13" s="87"/>
      <c r="G13" s="87"/>
      <c r="H13" s="87"/>
      <c r="I13" s="87"/>
      <c r="J13" s="87"/>
    </row>
    <row r="14" spans="1:10" ht="20.100000000000001" customHeight="1">
      <c r="A14" s="33" t="s">
        <v>91</v>
      </c>
      <c r="B14" s="7">
        <v>2050</v>
      </c>
      <c r="C14" s="87"/>
      <c r="D14" s="87"/>
      <c r="E14" s="87"/>
      <c r="F14" s="87"/>
      <c r="G14" s="87"/>
      <c r="H14" s="87"/>
      <c r="I14" s="87"/>
      <c r="J14" s="87"/>
    </row>
    <row r="15" spans="1:10" ht="20.100000000000001" customHeight="1">
      <c r="A15" s="33" t="s">
        <v>92</v>
      </c>
      <c r="B15" s="7">
        <v>2060</v>
      </c>
      <c r="C15" s="87"/>
      <c r="D15" s="87"/>
      <c r="E15" s="87"/>
      <c r="F15" s="87"/>
      <c r="G15" s="87"/>
      <c r="H15" s="87"/>
      <c r="I15" s="87"/>
      <c r="J15" s="87"/>
    </row>
    <row r="16" spans="1:10" ht="60.75" customHeight="1">
      <c r="A16" s="33" t="s">
        <v>43</v>
      </c>
      <c r="B16" s="7">
        <v>2070</v>
      </c>
      <c r="C16" s="87">
        <v>254</v>
      </c>
      <c r="D16" s="87">
        <v>256.3</v>
      </c>
      <c r="E16" s="87">
        <v>259</v>
      </c>
      <c r="F16" s="87">
        <f>J16</f>
        <v>256.3</v>
      </c>
      <c r="G16" s="87">
        <v>226.3</v>
      </c>
      <c r="H16" s="87">
        <v>236.3</v>
      </c>
      <c r="I16" s="87">
        <v>246.3</v>
      </c>
      <c r="J16" s="87">
        <v>256.3</v>
      </c>
    </row>
    <row r="17" spans="1:10" ht="20.100000000000001" customHeight="1">
      <c r="A17" s="394"/>
      <c r="B17" s="394"/>
      <c r="C17" s="394"/>
      <c r="D17" s="394"/>
      <c r="E17" s="394"/>
      <c r="F17" s="394"/>
      <c r="G17" s="394"/>
      <c r="H17" s="394"/>
      <c r="I17" s="394"/>
      <c r="J17" s="394"/>
    </row>
    <row r="18" spans="1:10" ht="40.5" customHeight="1">
      <c r="A18" s="33" t="s">
        <v>245</v>
      </c>
      <c r="B18" s="7">
        <v>2100</v>
      </c>
      <c r="C18" s="87">
        <f>'1.Фінансовий результат'!C104*0.15</f>
        <v>5.2649999999998922</v>
      </c>
      <c r="D18" s="87">
        <f>'1.Фінансовий результат'!D104*0.15</f>
        <v>4.918500000000229</v>
      </c>
      <c r="E18" s="87">
        <f>'1.Фінансовий результат'!E104*0.15</f>
        <v>4.1251037809083444</v>
      </c>
      <c r="F18" s="87">
        <f>ROUND('1.Фінансовий результат'!F104*0.15,1)</f>
        <v>3.4</v>
      </c>
      <c r="G18" s="87">
        <f>ROUND('1.Фінансовий результат'!G104*0.15,1)</f>
        <v>1</v>
      </c>
      <c r="H18" s="87">
        <f>ROUND('1.Фінансовий результат'!H104*0.15,1)</f>
        <v>0.8</v>
      </c>
      <c r="I18" s="87">
        <f>ROUND('1.Фінансовий результат'!I104*0.15,1)-0.1</f>
        <v>0.70000000000000007</v>
      </c>
      <c r="J18" s="87">
        <f>ROUND('1.Фінансовий результат'!J104*0.15,1)</f>
        <v>0.9</v>
      </c>
    </row>
    <row r="19" spans="1:10" s="34" customFormat="1" ht="20.100000000000001" customHeight="1">
      <c r="A19" s="33" t="s">
        <v>118</v>
      </c>
      <c r="B19" s="39">
        <v>2110</v>
      </c>
      <c r="C19" s="87">
        <f>'1.Фінансовий результат'!C102</f>
        <v>7.8</v>
      </c>
      <c r="D19" s="87">
        <f>'1.Фінансовий результат'!D102</f>
        <v>7.2</v>
      </c>
      <c r="E19" s="87">
        <f>'1.Фінансовий результат'!E102</f>
        <v>6.0367372403536752</v>
      </c>
      <c r="F19" s="87">
        <f>'1.Фінансовий результат'!F102</f>
        <v>5</v>
      </c>
      <c r="G19" s="87">
        <f>'1.Фінансовий результат'!G102</f>
        <v>1.4</v>
      </c>
      <c r="H19" s="87">
        <f>'1.Фінансовий результат'!H102</f>
        <v>1.1000000000000001</v>
      </c>
      <c r="I19" s="87">
        <f>'1.Фінансовий результат'!I102</f>
        <v>1.2</v>
      </c>
      <c r="J19" s="87">
        <f>'1.Фінансовий результат'!J102</f>
        <v>1.3</v>
      </c>
    </row>
    <row r="20" spans="1:10" ht="83.25" customHeight="1">
      <c r="A20" s="33" t="s">
        <v>216</v>
      </c>
      <c r="B20" s="39">
        <v>2120</v>
      </c>
      <c r="C20" s="87">
        <v>45</v>
      </c>
      <c r="D20" s="87">
        <f>'1.Фінансовий результат'!D11*0.282</f>
        <v>95.710799999999978</v>
      </c>
      <c r="E20" s="87">
        <f>'1.Фінансовий результат'!E11*0.282</f>
        <v>106.39859999999999</v>
      </c>
      <c r="F20" s="87">
        <f>ROUND('1.Фінансовий результат'!F11*0.282,1)</f>
        <v>138.6</v>
      </c>
      <c r="G20" s="87">
        <f>ROUND('1.Фінансовий результат'!G11*0.282,1)</f>
        <v>32</v>
      </c>
      <c r="H20" s="87">
        <f>ROUND('1.Фінансовий результат'!H11*0.282,1)</f>
        <v>37.200000000000003</v>
      </c>
      <c r="I20" s="87">
        <f>ROUND('1.Фінансовий результат'!I11*0.282,1)</f>
        <v>34.299999999999997</v>
      </c>
      <c r="J20" s="87">
        <f>ROUND('1.Фінансовий результат'!J11*0.282,1)</f>
        <v>35.1</v>
      </c>
    </row>
    <row r="21" spans="1:10" ht="81" customHeight="1">
      <c r="A21" s="33" t="s">
        <v>217</v>
      </c>
      <c r="B21" s="39">
        <v>2130</v>
      </c>
      <c r="C21" s="87"/>
      <c r="D21" s="87"/>
      <c r="E21" s="87"/>
      <c r="F21" s="87"/>
      <c r="G21" s="88"/>
      <c r="H21" s="88"/>
      <c r="I21" s="88"/>
      <c r="J21" s="88"/>
    </row>
    <row r="22" spans="1:10" s="36" customFormat="1" ht="77.25" customHeight="1">
      <c r="A22" s="42" t="s">
        <v>176</v>
      </c>
      <c r="B22" s="50">
        <v>2140</v>
      </c>
      <c r="C22" s="84">
        <f>C26+C31</f>
        <v>1503.8364520000002</v>
      </c>
      <c r="D22" s="84">
        <f t="shared" ref="D22:J22" si="0">D26+D31</f>
        <v>1573.9759999999997</v>
      </c>
      <c r="E22" s="84">
        <f>E26+E31</f>
        <v>1852.1559905499998</v>
      </c>
      <c r="F22" s="84">
        <f>F26+F31</f>
        <v>2262.4</v>
      </c>
      <c r="G22" s="84">
        <f t="shared" si="0"/>
        <v>539.6</v>
      </c>
      <c r="H22" s="84">
        <f t="shared" si="0"/>
        <v>553.20000000000005</v>
      </c>
      <c r="I22" s="84">
        <f t="shared" si="0"/>
        <v>575</v>
      </c>
      <c r="J22" s="84">
        <f t="shared" si="0"/>
        <v>594.6</v>
      </c>
    </row>
    <row r="23" spans="1:10" ht="20.100000000000001" customHeight="1">
      <c r="A23" s="33" t="s">
        <v>67</v>
      </c>
      <c r="B23" s="39">
        <v>2141</v>
      </c>
      <c r="C23" s="87"/>
      <c r="D23" s="87"/>
      <c r="E23" s="87"/>
      <c r="F23" s="87"/>
      <c r="G23" s="88"/>
      <c r="H23" s="88"/>
      <c r="I23" s="88"/>
      <c r="J23" s="88"/>
    </row>
    <row r="24" spans="1:10" ht="20.100000000000001" customHeight="1">
      <c r="A24" s="33" t="s">
        <v>84</v>
      </c>
      <c r="B24" s="39">
        <v>2142</v>
      </c>
      <c r="C24" s="87"/>
      <c r="D24" s="87"/>
      <c r="E24" s="87"/>
      <c r="F24" s="87"/>
      <c r="G24" s="88"/>
      <c r="H24" s="88"/>
      <c r="I24" s="88"/>
      <c r="J24" s="88"/>
    </row>
    <row r="25" spans="1:10" ht="20.100000000000001" customHeight="1">
      <c r="A25" s="33" t="s">
        <v>80</v>
      </c>
      <c r="B25" s="39">
        <v>2143</v>
      </c>
      <c r="C25" s="87"/>
      <c r="D25" s="87"/>
      <c r="E25" s="87"/>
      <c r="F25" s="87"/>
      <c r="G25" s="88"/>
      <c r="H25" s="88"/>
      <c r="I25" s="88"/>
      <c r="J25" s="88"/>
    </row>
    <row r="26" spans="1:10" ht="20.100000000000001" customHeight="1">
      <c r="A26" s="33" t="s">
        <v>65</v>
      </c>
      <c r="B26" s="39">
        <v>2144</v>
      </c>
      <c r="C26" s="87">
        <f>'1.Фінансовий результат'!C112*0.181732</f>
        <v>1265.0364520000003</v>
      </c>
      <c r="D26" s="87">
        <f>'1.Фінансовий результат'!D112*0.18</f>
        <v>1338.6239999999998</v>
      </c>
      <c r="E26" s="87">
        <f>'1.Фінансовий результат'!E112*0.18</f>
        <v>1645.0670681999998</v>
      </c>
      <c r="F26" s="87">
        <f>G26+H26+I26+J26</f>
        <v>2014.1000000000001</v>
      </c>
      <c r="G26" s="87">
        <f>ROUND('1.Фінансовий результат'!G112*0.18,1)</f>
        <v>479.6</v>
      </c>
      <c r="H26" s="87">
        <f>ROUND('1.Фінансовий результат'!H112*0.18,1)</f>
        <v>492.2</v>
      </c>
      <c r="I26" s="87">
        <f>ROUND('1.Фінансовий результат'!I112*0.18,1)</f>
        <v>512.1</v>
      </c>
      <c r="J26" s="87">
        <f>ROUND('1.Фінансовий результат'!J112*0.18,1)</f>
        <v>530.20000000000005</v>
      </c>
    </row>
    <row r="27" spans="1:10" s="34" customFormat="1" ht="41.25" customHeight="1">
      <c r="A27" s="33" t="s">
        <v>131</v>
      </c>
      <c r="B27" s="39">
        <v>2145</v>
      </c>
      <c r="C27" s="87"/>
      <c r="D27" s="87"/>
      <c r="E27" s="87"/>
      <c r="F27" s="87"/>
      <c r="G27" s="87"/>
      <c r="H27" s="87"/>
      <c r="I27" s="87"/>
      <c r="J27" s="87"/>
    </row>
    <row r="28" spans="1:10" ht="95.25" customHeight="1">
      <c r="A28" s="33" t="s">
        <v>179</v>
      </c>
      <c r="B28" s="39" t="s">
        <v>166</v>
      </c>
      <c r="C28" s="87"/>
      <c r="D28" s="87"/>
      <c r="E28" s="87"/>
      <c r="F28" s="87"/>
      <c r="G28" s="88"/>
      <c r="H28" s="88"/>
      <c r="I28" s="88"/>
      <c r="J28" s="88"/>
    </row>
    <row r="29" spans="1:10" ht="20.100000000000001" customHeight="1">
      <c r="A29" s="33" t="s">
        <v>10</v>
      </c>
      <c r="B29" s="39" t="s">
        <v>167</v>
      </c>
      <c r="C29" s="87"/>
      <c r="D29" s="87"/>
      <c r="E29" s="87"/>
      <c r="F29" s="87"/>
      <c r="G29" s="88"/>
      <c r="H29" s="88"/>
      <c r="I29" s="88"/>
      <c r="J29" s="88"/>
    </row>
    <row r="30" spans="1:10" s="34" customFormat="1" ht="43.5" customHeight="1">
      <c r="A30" s="33" t="s">
        <v>94</v>
      </c>
      <c r="B30" s="39">
        <v>2146</v>
      </c>
      <c r="C30" s="87"/>
      <c r="D30" s="87"/>
      <c r="E30" s="87"/>
      <c r="F30" s="87"/>
      <c r="G30" s="87"/>
      <c r="H30" s="87"/>
      <c r="I30" s="87"/>
      <c r="J30" s="87"/>
    </row>
    <row r="31" spans="1:10" ht="20.100000000000001" customHeight="1">
      <c r="A31" s="33" t="s">
        <v>71</v>
      </c>
      <c r="B31" s="39">
        <v>2147</v>
      </c>
      <c r="C31" s="84">
        <f t="shared" ref="C31:E31" si="1">C32+C33+C34+C35+C36</f>
        <v>238.8</v>
      </c>
      <c r="D31" s="84">
        <f t="shared" si="1"/>
        <v>235.35199999999998</v>
      </c>
      <c r="E31" s="84">
        <f t="shared" si="1"/>
        <v>207.08892234999999</v>
      </c>
      <c r="F31" s="84">
        <f>F32+F33+F34+F35+F36+F37</f>
        <v>248.3</v>
      </c>
      <c r="G31" s="84">
        <f>G32+G33+G34+G35+G36+G37</f>
        <v>60</v>
      </c>
      <c r="H31" s="84">
        <f t="shared" ref="H31:J31" si="2">H32+H33+H34+H35+H36+H37</f>
        <v>61</v>
      </c>
      <c r="I31" s="84">
        <f t="shared" si="2"/>
        <v>62.900000000000006</v>
      </c>
      <c r="J31" s="84">
        <f t="shared" si="2"/>
        <v>64.400000000000006</v>
      </c>
    </row>
    <row r="32" spans="1:10" ht="20.100000000000001" customHeight="1">
      <c r="A32" s="33" t="s">
        <v>287</v>
      </c>
      <c r="B32" s="39" t="s">
        <v>339</v>
      </c>
      <c r="C32" s="87">
        <v>5.3</v>
      </c>
      <c r="D32" s="87">
        <v>2.6</v>
      </c>
      <c r="E32" s="87">
        <f>F32+G32+H32+I32</f>
        <v>4.5</v>
      </c>
      <c r="F32" s="87">
        <f>G32+H32+I32+J32</f>
        <v>2.5999999999999996</v>
      </c>
      <c r="G32" s="87">
        <v>0.6</v>
      </c>
      <c r="H32" s="87">
        <v>0.6</v>
      </c>
      <c r="I32" s="87">
        <v>0.7</v>
      </c>
      <c r="J32" s="87">
        <v>0.7</v>
      </c>
    </row>
    <row r="33" spans="1:12" ht="20.100000000000001" customHeight="1">
      <c r="A33" s="33" t="s">
        <v>288</v>
      </c>
      <c r="B33" s="39" t="s">
        <v>340</v>
      </c>
      <c r="C33" s="267">
        <f>'1.Фінансовий результат'!C92</f>
        <v>104.6</v>
      </c>
      <c r="D33" s="87">
        <f>'1.Фінансовий результат'!D92</f>
        <v>120</v>
      </c>
      <c r="E33" s="87">
        <f>'1.Фінансовий результат'!E92</f>
        <v>64</v>
      </c>
      <c r="F33" s="87">
        <f>'1.Фінансовий результат'!F92</f>
        <v>72</v>
      </c>
      <c r="G33" s="87">
        <f>'1.Фінансовий результат'!G92</f>
        <v>18</v>
      </c>
      <c r="H33" s="87">
        <f>'1.Фінансовий результат'!H92</f>
        <v>18</v>
      </c>
      <c r="I33" s="87">
        <f>'1.Фінансовий результат'!I92</f>
        <v>18</v>
      </c>
      <c r="J33" s="87">
        <f>'1.Фінансовий результат'!J92</f>
        <v>18</v>
      </c>
    </row>
    <row r="34" spans="1:12" ht="20.100000000000001" customHeight="1">
      <c r="A34" s="33" t="s">
        <v>342</v>
      </c>
      <c r="B34" s="39" t="s">
        <v>341</v>
      </c>
      <c r="C34" s="87">
        <f>'1.Фінансовий результат'!C93+0.1</f>
        <v>0.9</v>
      </c>
      <c r="D34" s="87">
        <f>'1.Фінансовий результат'!D93</f>
        <v>0.8</v>
      </c>
      <c r="E34" s="87">
        <f>'1.Фінансовий результат'!E93</f>
        <v>1.2</v>
      </c>
      <c r="F34" s="87">
        <f>'1.Фінансовий результат'!F93</f>
        <v>1.2</v>
      </c>
      <c r="G34" s="87">
        <f>'1.Фінансовий результат'!G93</f>
        <v>0.3</v>
      </c>
      <c r="H34" s="87">
        <f>'1.Фінансовий результат'!H93</f>
        <v>0.3</v>
      </c>
      <c r="I34" s="87">
        <f>'1.Фінансовий результат'!I93</f>
        <v>0.3</v>
      </c>
      <c r="J34" s="87">
        <f>'1.Фінансовий результат'!J93</f>
        <v>0.3</v>
      </c>
    </row>
    <row r="35" spans="1:12" ht="20.100000000000001" customHeight="1">
      <c r="A35" s="33" t="s">
        <v>343</v>
      </c>
      <c r="B35" s="39" t="s">
        <v>344</v>
      </c>
      <c r="C35" s="87">
        <f>'1.Фінансовий результат'!C91</f>
        <v>0</v>
      </c>
      <c r="D35" s="87">
        <f>'1.Фінансовий результат'!D91</f>
        <v>0.4</v>
      </c>
      <c r="E35" s="87">
        <f>'1.Фінансовий результат'!E91</f>
        <v>0.3</v>
      </c>
      <c r="F35" s="87">
        <f>'1.Фінансовий результат'!F91</f>
        <v>0.4</v>
      </c>
      <c r="G35" s="87">
        <f>'1.Фінансовий результат'!G91</f>
        <v>0.1</v>
      </c>
      <c r="H35" s="87">
        <f>'1.Фінансовий результат'!H91</f>
        <v>0.1</v>
      </c>
      <c r="I35" s="87">
        <f>'1.Фінансовий результат'!I91</f>
        <v>0.1</v>
      </c>
      <c r="J35" s="87">
        <f>'1.Фінансовий результат'!J91</f>
        <v>0.1</v>
      </c>
    </row>
    <row r="36" spans="1:12" ht="20.100000000000001" customHeight="1">
      <c r="A36" s="33" t="s">
        <v>346</v>
      </c>
      <c r="B36" s="39" t="s">
        <v>345</v>
      </c>
      <c r="C36" s="87">
        <v>128</v>
      </c>
      <c r="D36" s="87">
        <f>'1.Фінансовий результат'!D112*0.015</f>
        <v>111.55199999999998</v>
      </c>
      <c r="E36" s="87">
        <f>'1.Фінансовий результат'!E112*0.015</f>
        <v>137.08892234999999</v>
      </c>
      <c r="F36" s="87">
        <f>G36+H36+I36+J36</f>
        <v>167.9</v>
      </c>
      <c r="G36" s="87">
        <f>ROUND('1.Фінансовий результат'!G112*0.015,1)</f>
        <v>40</v>
      </c>
      <c r="H36" s="87">
        <f>ROUND('1.Фінансовий результат'!H112*0.015,1)</f>
        <v>41</v>
      </c>
      <c r="I36" s="87">
        <f>ROUND('1.Фінансовий результат'!I112*0.015,1)</f>
        <v>42.7</v>
      </c>
      <c r="J36" s="87">
        <f>ROUND('1.Фінансовий результат'!J112*0.015,1)</f>
        <v>44.2</v>
      </c>
    </row>
    <row r="37" spans="1:12" ht="20.100000000000001" customHeight="1">
      <c r="A37" s="33" t="s">
        <v>394</v>
      </c>
      <c r="B37" s="39" t="s">
        <v>395</v>
      </c>
      <c r="C37" s="87"/>
      <c r="D37" s="87"/>
      <c r="E37" s="87"/>
      <c r="F37" s="87">
        <f>G37+H37+I37+J37</f>
        <v>4.2</v>
      </c>
      <c r="G37" s="87">
        <f>'1.Фінансовий результат'!G95</f>
        <v>1</v>
      </c>
      <c r="H37" s="87">
        <f>'1.Фінансовий результат'!H95</f>
        <v>1</v>
      </c>
      <c r="I37" s="87">
        <f>'1.Фінансовий результат'!I95</f>
        <v>1.1000000000000001</v>
      </c>
      <c r="J37" s="87">
        <f>'1.Фінансовий результат'!J95</f>
        <v>1.1000000000000001</v>
      </c>
    </row>
    <row r="38" spans="1:12" s="34" customFormat="1" ht="57" customHeight="1">
      <c r="A38" s="33" t="s">
        <v>66</v>
      </c>
      <c r="B38" s="39">
        <v>2150</v>
      </c>
      <c r="C38" s="87">
        <f>'1.Фінансовий результат'!C113</f>
        <v>1510.5</v>
      </c>
      <c r="D38" s="87">
        <f>'1.Фінансовий результат'!D113</f>
        <v>1636.1099999999997</v>
      </c>
      <c r="E38" s="87">
        <f>'1.Фінансовий результат'!E113</f>
        <v>2010.6375277999998</v>
      </c>
      <c r="F38" s="87">
        <f>'1.Фінансовий результат'!F113</f>
        <v>2461.6</v>
      </c>
      <c r="G38" s="87">
        <f>'1.Фінансовий результат'!G113</f>
        <v>586.20000000000005</v>
      </c>
      <c r="H38" s="87">
        <f>'1.Фінансовий результат'!H113</f>
        <v>601.6</v>
      </c>
      <c r="I38" s="87">
        <f>'1.Фінансовий результат'!I113</f>
        <v>625.79999999999995</v>
      </c>
      <c r="J38" s="87">
        <f>'1.Фінансовий результат'!J113</f>
        <v>648</v>
      </c>
      <c r="L38" s="335">
        <f>562.1+577.5+601.8+621.7</f>
        <v>2363.1</v>
      </c>
    </row>
    <row r="39" spans="1:12" s="76" customFormat="1" ht="39" customHeight="1">
      <c r="A39" s="74" t="s">
        <v>184</v>
      </c>
      <c r="B39" s="75">
        <v>2200</v>
      </c>
      <c r="C39" s="85">
        <f t="shared" ref="C39:J39" si="3">C18+C19+C20+C22+C38</f>
        <v>3072.4014520000001</v>
      </c>
      <c r="D39" s="85">
        <f t="shared" si="3"/>
        <v>3317.9152999999997</v>
      </c>
      <c r="E39" s="85">
        <f t="shared" si="3"/>
        <v>3979.3539593712617</v>
      </c>
      <c r="F39" s="85">
        <f t="shared" si="3"/>
        <v>4871</v>
      </c>
      <c r="G39" s="85">
        <f t="shared" si="3"/>
        <v>1160.2</v>
      </c>
      <c r="H39" s="85">
        <f t="shared" si="3"/>
        <v>1193.9000000000001</v>
      </c>
      <c r="I39" s="85">
        <f t="shared" si="3"/>
        <v>1237</v>
      </c>
      <c r="J39" s="85">
        <f t="shared" si="3"/>
        <v>1279.9000000000001</v>
      </c>
    </row>
    <row r="40" spans="1:12" s="34" customFormat="1" ht="20.100000000000001" customHeight="1">
      <c r="A40" s="48"/>
      <c r="B40" s="35"/>
      <c r="C40" s="46"/>
      <c r="D40" s="46"/>
      <c r="E40" s="46"/>
      <c r="F40" s="46"/>
      <c r="G40" s="47"/>
      <c r="H40" s="47"/>
      <c r="I40" s="47"/>
      <c r="J40" s="47"/>
    </row>
    <row r="41" spans="1:12" s="34" customFormat="1" ht="20.100000000000001" customHeight="1">
      <c r="A41" s="48"/>
      <c r="B41" s="35"/>
      <c r="C41" s="46"/>
      <c r="D41" s="46"/>
      <c r="E41" s="46"/>
      <c r="F41" s="46"/>
      <c r="G41" s="47"/>
      <c r="H41" s="47"/>
      <c r="I41" s="47"/>
      <c r="J41" s="47"/>
    </row>
    <row r="42" spans="1:12" s="3" customFormat="1" ht="20.100000000000001" customHeight="1">
      <c r="A42" s="348" t="s">
        <v>193</v>
      </c>
      <c r="B42" s="1"/>
      <c r="C42" s="395" t="s">
        <v>85</v>
      </c>
      <c r="D42" s="395"/>
      <c r="E42" s="395"/>
      <c r="F42" s="396"/>
      <c r="G42" s="12"/>
      <c r="H42" s="397" t="s">
        <v>316</v>
      </c>
      <c r="I42" s="397"/>
      <c r="J42" s="397"/>
    </row>
    <row r="43" spans="1:12" s="2" customFormat="1" ht="24" customHeight="1">
      <c r="A43" s="341" t="s">
        <v>416</v>
      </c>
      <c r="B43" s="3"/>
      <c r="C43" s="392" t="s">
        <v>192</v>
      </c>
      <c r="D43" s="392"/>
      <c r="E43" s="392"/>
      <c r="F43" s="392"/>
      <c r="G43" s="23"/>
      <c r="H43" s="393" t="s">
        <v>81</v>
      </c>
      <c r="I43" s="393"/>
      <c r="J43" s="393"/>
    </row>
    <row r="44" spans="1:12" s="35" customFormat="1">
      <c r="A44" s="44"/>
      <c r="F44" s="32"/>
      <c r="G44" s="32"/>
      <c r="H44" s="32"/>
      <c r="I44" s="32"/>
      <c r="J44" s="32"/>
      <c r="K44" s="32"/>
      <c r="L44" s="32"/>
    </row>
    <row r="45" spans="1:12" s="35" customFormat="1">
      <c r="A45" s="44"/>
      <c r="F45" s="32"/>
      <c r="G45" s="32"/>
      <c r="H45" s="32"/>
      <c r="I45" s="32"/>
      <c r="J45" s="32"/>
      <c r="K45" s="32"/>
      <c r="L45" s="32"/>
    </row>
    <row r="46" spans="1:12" s="35" customFormat="1">
      <c r="A46" s="44">
        <f>15485</f>
        <v>15485</v>
      </c>
      <c r="F46" s="32"/>
      <c r="G46" s="32"/>
      <c r="H46" s="32"/>
      <c r="I46" s="32"/>
      <c r="J46" s="32"/>
      <c r="K46" s="32"/>
      <c r="L46" s="32"/>
    </row>
    <row r="47" spans="1:12" s="35" customFormat="1">
      <c r="A47" s="44">
        <f>12796+1856+685+105</f>
        <v>15442</v>
      </c>
      <c r="F47" s="32"/>
      <c r="G47" s="32"/>
      <c r="H47" s="32"/>
      <c r="I47" s="32"/>
      <c r="J47" s="32"/>
      <c r="K47" s="32"/>
      <c r="L47" s="32"/>
    </row>
    <row r="48" spans="1:12" s="35" customFormat="1">
      <c r="A48" s="44">
        <f>A46-A47</f>
        <v>43</v>
      </c>
      <c r="F48" s="32"/>
      <c r="G48" s="32"/>
      <c r="H48" s="32"/>
      <c r="I48" s="32"/>
      <c r="J48" s="32"/>
      <c r="K48" s="32"/>
      <c r="L48" s="32"/>
    </row>
    <row r="49" spans="1:12" s="35" customFormat="1">
      <c r="A49" s="211">
        <f>6961000/92/12</f>
        <v>6305.2536231884051</v>
      </c>
      <c r="F49" s="32"/>
      <c r="G49" s="32"/>
      <c r="H49" s="32"/>
      <c r="I49" s="32"/>
      <c r="J49" s="32"/>
      <c r="K49" s="32"/>
      <c r="L49" s="32"/>
    </row>
    <row r="50" spans="1:12" s="35" customFormat="1">
      <c r="A50" s="44"/>
      <c r="F50" s="32"/>
      <c r="G50" s="32"/>
      <c r="H50" s="32"/>
      <c r="I50" s="32"/>
      <c r="J50" s="32"/>
      <c r="K50" s="32"/>
      <c r="L50" s="32"/>
    </row>
    <row r="51" spans="1:12" s="35" customFormat="1">
      <c r="A51" s="44"/>
      <c r="F51" s="32"/>
      <c r="G51" s="32"/>
      <c r="H51" s="32"/>
      <c r="I51" s="32"/>
      <c r="J51" s="32"/>
      <c r="K51" s="32"/>
      <c r="L51" s="32"/>
    </row>
    <row r="52" spans="1:12" s="35" customFormat="1">
      <c r="A52" s="44"/>
      <c r="F52" s="32"/>
      <c r="G52" s="32"/>
      <c r="H52" s="32"/>
      <c r="I52" s="32"/>
      <c r="J52" s="32"/>
      <c r="K52" s="32"/>
      <c r="L52" s="32"/>
    </row>
    <row r="53" spans="1:12" s="35" customFormat="1">
      <c r="A53" s="44"/>
      <c r="F53" s="32"/>
      <c r="G53" s="32"/>
      <c r="H53" s="32"/>
      <c r="I53" s="32"/>
      <c r="J53" s="32"/>
      <c r="K53" s="32"/>
      <c r="L53" s="32"/>
    </row>
    <row r="54" spans="1:12" s="35" customFormat="1">
      <c r="A54" s="44"/>
      <c r="F54" s="32"/>
      <c r="G54" s="32"/>
      <c r="H54" s="32"/>
      <c r="I54" s="32"/>
      <c r="J54" s="32"/>
      <c r="K54" s="32"/>
      <c r="L54" s="32"/>
    </row>
    <row r="55" spans="1:12" s="35" customFormat="1">
      <c r="A55" s="44"/>
      <c r="F55" s="32"/>
      <c r="G55" s="32"/>
      <c r="H55" s="32"/>
      <c r="I55" s="32"/>
      <c r="J55" s="32"/>
      <c r="K55" s="32"/>
      <c r="L55" s="32"/>
    </row>
    <row r="56" spans="1:12" s="35" customFormat="1">
      <c r="A56" s="44"/>
      <c r="F56" s="32"/>
      <c r="G56" s="32"/>
      <c r="H56" s="32"/>
      <c r="I56" s="32"/>
      <c r="J56" s="32"/>
      <c r="K56" s="32"/>
      <c r="L56" s="32"/>
    </row>
    <row r="57" spans="1:12" s="35" customFormat="1">
      <c r="A57" s="44"/>
      <c r="F57" s="32"/>
      <c r="G57" s="32"/>
      <c r="H57" s="32"/>
      <c r="I57" s="32"/>
      <c r="J57" s="32"/>
      <c r="K57" s="32"/>
      <c r="L57" s="32"/>
    </row>
    <row r="58" spans="1:12" s="35" customFormat="1">
      <c r="A58" s="44"/>
      <c r="F58" s="32"/>
      <c r="G58" s="32"/>
      <c r="H58" s="32"/>
      <c r="I58" s="32"/>
      <c r="J58" s="32"/>
      <c r="K58" s="32"/>
      <c r="L58" s="32"/>
    </row>
    <row r="59" spans="1:12" s="35" customFormat="1">
      <c r="A59" s="44"/>
      <c r="F59" s="32"/>
      <c r="G59" s="32"/>
      <c r="H59" s="32"/>
      <c r="I59" s="32"/>
      <c r="J59" s="32"/>
      <c r="K59" s="32"/>
      <c r="L59" s="32"/>
    </row>
    <row r="60" spans="1:12" s="35" customFormat="1">
      <c r="A60" s="44"/>
      <c r="F60" s="32"/>
      <c r="G60" s="32"/>
      <c r="H60" s="32"/>
      <c r="I60" s="32"/>
      <c r="J60" s="32"/>
      <c r="K60" s="32"/>
      <c r="L60" s="32"/>
    </row>
    <row r="61" spans="1:12" s="35" customFormat="1">
      <c r="A61" s="44"/>
      <c r="F61" s="32"/>
      <c r="G61" s="32"/>
      <c r="H61" s="32"/>
      <c r="I61" s="32"/>
      <c r="J61" s="32"/>
      <c r="K61" s="32"/>
      <c r="L61" s="32"/>
    </row>
    <row r="62" spans="1:12" s="35" customFormat="1">
      <c r="A62" s="44"/>
      <c r="F62" s="32"/>
      <c r="G62" s="32"/>
      <c r="H62" s="32"/>
      <c r="I62" s="32"/>
      <c r="J62" s="32"/>
      <c r="K62" s="32"/>
      <c r="L62" s="32"/>
    </row>
    <row r="63" spans="1:12" s="35" customFormat="1">
      <c r="A63" s="44"/>
      <c r="F63" s="32"/>
      <c r="G63" s="32"/>
      <c r="H63" s="32"/>
      <c r="I63" s="32"/>
      <c r="J63" s="32"/>
      <c r="K63" s="32"/>
      <c r="L63" s="32"/>
    </row>
    <row r="64" spans="1:12" s="35" customFormat="1">
      <c r="A64" s="44"/>
      <c r="F64" s="32"/>
      <c r="G64" s="32"/>
      <c r="H64" s="32"/>
      <c r="I64" s="32"/>
      <c r="J64" s="32"/>
      <c r="K64" s="32"/>
      <c r="L64" s="32"/>
    </row>
    <row r="65" spans="1:12" s="35" customFormat="1">
      <c r="A65" s="44"/>
      <c r="F65" s="32"/>
      <c r="G65" s="32"/>
      <c r="H65" s="32"/>
      <c r="I65" s="32"/>
      <c r="J65" s="32"/>
      <c r="K65" s="32"/>
      <c r="L65" s="32"/>
    </row>
    <row r="66" spans="1:12" s="35" customFormat="1">
      <c r="A66" s="44"/>
      <c r="F66" s="32"/>
      <c r="G66" s="32"/>
      <c r="H66" s="32"/>
      <c r="I66" s="32"/>
      <c r="J66" s="32"/>
      <c r="K66" s="32"/>
      <c r="L66" s="32"/>
    </row>
    <row r="67" spans="1:12" s="35" customFormat="1">
      <c r="A67" s="44"/>
      <c r="F67" s="32"/>
      <c r="G67" s="32"/>
      <c r="H67" s="32"/>
      <c r="I67" s="32"/>
      <c r="J67" s="32"/>
      <c r="K67" s="32"/>
      <c r="L67" s="32"/>
    </row>
    <row r="68" spans="1:12" s="35" customFormat="1">
      <c r="A68" s="44"/>
      <c r="F68" s="32"/>
      <c r="G68" s="32"/>
      <c r="H68" s="32"/>
      <c r="I68" s="32"/>
      <c r="J68" s="32"/>
      <c r="K68" s="32"/>
      <c r="L68" s="32"/>
    </row>
    <row r="69" spans="1:12" s="35" customFormat="1">
      <c r="A69" s="44"/>
      <c r="F69" s="32"/>
      <c r="G69" s="32"/>
      <c r="H69" s="32"/>
      <c r="I69" s="32"/>
      <c r="J69" s="32"/>
      <c r="K69" s="32"/>
      <c r="L69" s="32"/>
    </row>
    <row r="70" spans="1:12" s="35" customFormat="1">
      <c r="A70" s="44"/>
      <c r="F70" s="32"/>
      <c r="G70" s="32"/>
      <c r="H70" s="32"/>
      <c r="I70" s="32"/>
      <c r="J70" s="32"/>
      <c r="K70" s="32"/>
      <c r="L70" s="32"/>
    </row>
    <row r="71" spans="1:12" s="35" customFormat="1">
      <c r="A71" s="44"/>
      <c r="F71" s="32"/>
      <c r="G71" s="32"/>
      <c r="H71" s="32"/>
      <c r="I71" s="32"/>
      <c r="J71" s="32"/>
      <c r="K71" s="32"/>
      <c r="L71" s="32"/>
    </row>
    <row r="72" spans="1:12" s="35" customFormat="1">
      <c r="A72" s="44"/>
      <c r="F72" s="32"/>
      <c r="G72" s="32"/>
      <c r="H72" s="32"/>
      <c r="I72" s="32"/>
      <c r="J72" s="32"/>
      <c r="K72" s="32"/>
      <c r="L72" s="32"/>
    </row>
    <row r="73" spans="1:12" s="35" customFormat="1">
      <c r="A73" s="44"/>
      <c r="F73" s="32"/>
      <c r="G73" s="32"/>
      <c r="H73" s="32"/>
      <c r="I73" s="32"/>
      <c r="J73" s="32"/>
      <c r="K73" s="32"/>
      <c r="L73" s="32"/>
    </row>
    <row r="74" spans="1:12" s="35" customFormat="1">
      <c r="A74" s="44"/>
      <c r="F74" s="32"/>
      <c r="G74" s="32"/>
      <c r="H74" s="32"/>
      <c r="I74" s="32"/>
      <c r="J74" s="32"/>
      <c r="K74" s="32"/>
      <c r="L74" s="32"/>
    </row>
    <row r="75" spans="1:12" s="35" customFormat="1">
      <c r="A75" s="44"/>
      <c r="F75" s="32"/>
      <c r="G75" s="32"/>
      <c r="H75" s="32"/>
      <c r="I75" s="32"/>
      <c r="J75" s="32"/>
      <c r="K75" s="32"/>
      <c r="L75" s="32"/>
    </row>
    <row r="76" spans="1:12" s="35" customFormat="1">
      <c r="A76" s="44"/>
      <c r="F76" s="32"/>
      <c r="G76" s="32"/>
      <c r="H76" s="32"/>
      <c r="I76" s="32"/>
      <c r="J76" s="32"/>
      <c r="K76" s="32"/>
      <c r="L76" s="32"/>
    </row>
    <row r="77" spans="1:12" s="35" customFormat="1">
      <c r="A77" s="44"/>
      <c r="F77" s="32"/>
      <c r="G77" s="32"/>
      <c r="H77" s="32"/>
      <c r="I77" s="32"/>
      <c r="J77" s="32"/>
      <c r="K77" s="32"/>
      <c r="L77" s="32"/>
    </row>
    <row r="78" spans="1:12" s="35" customFormat="1">
      <c r="A78" s="44"/>
      <c r="F78" s="32"/>
      <c r="G78" s="32"/>
      <c r="H78" s="32"/>
      <c r="I78" s="32"/>
      <c r="J78" s="32"/>
      <c r="K78" s="32"/>
      <c r="L78" s="32"/>
    </row>
    <row r="79" spans="1:12" s="35" customFormat="1">
      <c r="A79" s="44"/>
      <c r="F79" s="32"/>
      <c r="G79" s="32"/>
      <c r="H79" s="32"/>
      <c r="I79" s="32"/>
      <c r="J79" s="32"/>
      <c r="K79" s="32"/>
      <c r="L79" s="32"/>
    </row>
    <row r="80" spans="1:12" s="35" customFormat="1">
      <c r="A80" s="44"/>
      <c r="F80" s="32"/>
      <c r="G80" s="32"/>
      <c r="H80" s="32"/>
      <c r="I80" s="32"/>
      <c r="J80" s="32"/>
      <c r="K80" s="32"/>
      <c r="L80" s="32"/>
    </row>
    <row r="81" spans="1:12" s="35" customFormat="1">
      <c r="A81" s="44"/>
      <c r="F81" s="32"/>
      <c r="G81" s="32"/>
      <c r="H81" s="32"/>
      <c r="I81" s="32"/>
      <c r="J81" s="32"/>
      <c r="K81" s="32"/>
      <c r="L81" s="32"/>
    </row>
    <row r="82" spans="1:12" s="35" customFormat="1">
      <c r="A82" s="44"/>
      <c r="F82" s="32"/>
      <c r="G82" s="32"/>
      <c r="H82" s="32"/>
      <c r="I82" s="32"/>
      <c r="J82" s="32"/>
      <c r="K82" s="32"/>
      <c r="L82" s="32"/>
    </row>
    <row r="83" spans="1:12" s="35" customFormat="1">
      <c r="A83" s="44"/>
      <c r="F83" s="32"/>
      <c r="G83" s="32"/>
      <c r="H83" s="32"/>
      <c r="I83" s="32"/>
      <c r="J83" s="32"/>
      <c r="K83" s="32"/>
      <c r="L83" s="32"/>
    </row>
    <row r="84" spans="1:12" s="35" customFormat="1">
      <c r="A84" s="44"/>
      <c r="F84" s="32"/>
      <c r="G84" s="32"/>
      <c r="H84" s="32"/>
      <c r="I84" s="32"/>
      <c r="J84" s="32"/>
      <c r="K84" s="32"/>
      <c r="L84" s="32"/>
    </row>
    <row r="85" spans="1:12" s="35" customFormat="1">
      <c r="A85" s="44"/>
      <c r="F85" s="32"/>
      <c r="G85" s="32"/>
      <c r="H85" s="32"/>
      <c r="I85" s="32"/>
      <c r="J85" s="32"/>
      <c r="K85" s="32"/>
      <c r="L85" s="32"/>
    </row>
    <row r="86" spans="1:12" s="35" customFormat="1">
      <c r="A86" s="44"/>
      <c r="F86" s="32"/>
      <c r="G86" s="32"/>
      <c r="H86" s="32"/>
      <c r="I86" s="32"/>
      <c r="J86" s="32"/>
      <c r="K86" s="32"/>
      <c r="L86" s="32"/>
    </row>
    <row r="87" spans="1:12" s="35" customFormat="1">
      <c r="A87" s="44"/>
      <c r="F87" s="32"/>
      <c r="G87" s="32"/>
      <c r="H87" s="32"/>
      <c r="I87" s="32"/>
      <c r="J87" s="32"/>
      <c r="K87" s="32"/>
      <c r="L87" s="32"/>
    </row>
    <row r="88" spans="1:12" s="35" customFormat="1">
      <c r="A88" s="44"/>
      <c r="F88" s="32"/>
      <c r="G88" s="32"/>
      <c r="H88" s="32"/>
      <c r="I88" s="32"/>
      <c r="J88" s="32"/>
      <c r="K88" s="32"/>
      <c r="L88" s="32"/>
    </row>
    <row r="89" spans="1:12" s="35" customFormat="1">
      <c r="A89" s="44"/>
      <c r="F89" s="32"/>
      <c r="G89" s="32"/>
      <c r="H89" s="32"/>
      <c r="I89" s="32"/>
      <c r="J89" s="32"/>
      <c r="K89" s="32"/>
      <c r="L89" s="32"/>
    </row>
    <row r="90" spans="1:12" s="35" customFormat="1">
      <c r="A90" s="44"/>
      <c r="F90" s="32"/>
      <c r="G90" s="32"/>
      <c r="H90" s="32"/>
      <c r="I90" s="32"/>
      <c r="J90" s="32"/>
      <c r="K90" s="32"/>
      <c r="L90" s="32"/>
    </row>
    <row r="91" spans="1:12" s="35" customFormat="1">
      <c r="A91" s="44"/>
      <c r="F91" s="32"/>
      <c r="G91" s="32"/>
      <c r="H91" s="32"/>
      <c r="I91" s="32"/>
      <c r="J91" s="32"/>
      <c r="K91" s="32"/>
      <c r="L91" s="32"/>
    </row>
    <row r="92" spans="1:12" s="35" customFormat="1">
      <c r="A92" s="44"/>
      <c r="F92" s="32"/>
      <c r="G92" s="32"/>
      <c r="H92" s="32"/>
      <c r="I92" s="32"/>
      <c r="J92" s="32"/>
      <c r="K92" s="32"/>
      <c r="L92" s="32"/>
    </row>
    <row r="93" spans="1:12" s="35" customFormat="1">
      <c r="A93" s="44"/>
      <c r="F93" s="32"/>
      <c r="G93" s="32"/>
      <c r="H93" s="32"/>
      <c r="I93" s="32"/>
      <c r="J93" s="32"/>
      <c r="K93" s="32"/>
      <c r="L93" s="32"/>
    </row>
    <row r="94" spans="1:12" s="35" customFormat="1">
      <c r="A94" s="44"/>
      <c r="F94" s="32"/>
      <c r="G94" s="32"/>
      <c r="H94" s="32"/>
      <c r="I94" s="32"/>
      <c r="J94" s="32"/>
      <c r="K94" s="32"/>
      <c r="L94" s="32"/>
    </row>
    <row r="95" spans="1:12" s="35" customFormat="1">
      <c r="A95" s="44"/>
      <c r="F95" s="32"/>
      <c r="G95" s="32"/>
      <c r="H95" s="32"/>
      <c r="I95" s="32"/>
      <c r="J95" s="32"/>
      <c r="K95" s="32"/>
      <c r="L95" s="32"/>
    </row>
    <row r="96" spans="1:12" s="35" customFormat="1">
      <c r="A96" s="44"/>
      <c r="F96" s="32"/>
      <c r="G96" s="32"/>
      <c r="H96" s="32"/>
      <c r="I96" s="32"/>
      <c r="J96" s="32"/>
      <c r="K96" s="32"/>
      <c r="L96" s="32"/>
    </row>
    <row r="97" spans="1:12" s="35" customFormat="1">
      <c r="A97" s="44"/>
      <c r="F97" s="32"/>
      <c r="G97" s="32"/>
      <c r="H97" s="32"/>
      <c r="I97" s="32"/>
      <c r="J97" s="32"/>
      <c r="K97" s="32"/>
      <c r="L97" s="32"/>
    </row>
    <row r="98" spans="1:12" s="35" customFormat="1">
      <c r="A98" s="44"/>
      <c r="F98" s="32"/>
      <c r="G98" s="32"/>
      <c r="H98" s="32"/>
      <c r="I98" s="32"/>
      <c r="J98" s="32"/>
      <c r="K98" s="32"/>
      <c r="L98" s="32"/>
    </row>
    <row r="99" spans="1:12" s="35" customFormat="1">
      <c r="A99" s="44"/>
      <c r="F99" s="32"/>
      <c r="G99" s="32"/>
      <c r="H99" s="32"/>
      <c r="I99" s="32"/>
      <c r="J99" s="32"/>
      <c r="K99" s="32"/>
      <c r="L99" s="32"/>
    </row>
    <row r="100" spans="1:12" s="35" customFormat="1">
      <c r="A100" s="44"/>
      <c r="F100" s="32"/>
      <c r="G100" s="32"/>
      <c r="H100" s="32"/>
      <c r="I100" s="32"/>
      <c r="J100" s="32"/>
      <c r="K100" s="32"/>
      <c r="L100" s="32"/>
    </row>
    <row r="101" spans="1:12" s="35" customFormat="1">
      <c r="A101" s="44"/>
      <c r="F101" s="32"/>
      <c r="G101" s="32"/>
      <c r="H101" s="32"/>
      <c r="I101" s="32"/>
      <c r="J101" s="32"/>
      <c r="K101" s="32"/>
      <c r="L101" s="32"/>
    </row>
    <row r="102" spans="1:12" s="35" customFormat="1">
      <c r="A102" s="44"/>
      <c r="F102" s="32"/>
      <c r="G102" s="32"/>
      <c r="H102" s="32"/>
      <c r="I102" s="32"/>
      <c r="J102" s="32"/>
      <c r="K102" s="32"/>
      <c r="L102" s="32"/>
    </row>
    <row r="103" spans="1:12" s="35" customFormat="1">
      <c r="A103" s="44"/>
      <c r="F103" s="32"/>
      <c r="G103" s="32"/>
      <c r="H103" s="32"/>
      <c r="I103" s="32"/>
      <c r="J103" s="32"/>
      <c r="K103" s="32"/>
      <c r="L103" s="32"/>
    </row>
    <row r="104" spans="1:12" s="35" customFormat="1">
      <c r="A104" s="44"/>
      <c r="F104" s="32"/>
      <c r="G104" s="32"/>
      <c r="H104" s="32"/>
      <c r="I104" s="32"/>
      <c r="J104" s="32"/>
      <c r="K104" s="32"/>
      <c r="L104" s="32"/>
    </row>
    <row r="105" spans="1:12" s="35" customFormat="1">
      <c r="A105" s="44"/>
      <c r="F105" s="32"/>
      <c r="G105" s="32"/>
      <c r="H105" s="32"/>
      <c r="I105" s="32"/>
      <c r="J105" s="32"/>
      <c r="K105" s="32"/>
      <c r="L105" s="32"/>
    </row>
    <row r="106" spans="1:12" s="35" customFormat="1">
      <c r="A106" s="44"/>
      <c r="F106" s="32"/>
      <c r="G106" s="32"/>
      <c r="H106" s="32"/>
      <c r="I106" s="32"/>
      <c r="J106" s="32"/>
      <c r="K106" s="32"/>
      <c r="L106" s="32"/>
    </row>
    <row r="107" spans="1:12" s="35" customFormat="1">
      <c r="A107" s="44"/>
      <c r="F107" s="32"/>
      <c r="G107" s="32"/>
      <c r="H107" s="32"/>
      <c r="I107" s="32"/>
      <c r="J107" s="32"/>
      <c r="K107" s="32"/>
      <c r="L107" s="32"/>
    </row>
    <row r="108" spans="1:12" s="35" customFormat="1">
      <c r="A108" s="44"/>
      <c r="F108" s="32"/>
      <c r="G108" s="32"/>
      <c r="H108" s="32"/>
      <c r="I108" s="32"/>
      <c r="J108" s="32"/>
      <c r="K108" s="32"/>
      <c r="L108" s="32"/>
    </row>
    <row r="109" spans="1:12" s="35" customFormat="1">
      <c r="A109" s="44"/>
      <c r="F109" s="32"/>
      <c r="G109" s="32"/>
      <c r="H109" s="32"/>
      <c r="I109" s="32"/>
      <c r="J109" s="32"/>
      <c r="K109" s="32"/>
      <c r="L109" s="32"/>
    </row>
    <row r="110" spans="1:12" s="35" customFormat="1">
      <c r="A110" s="44"/>
      <c r="F110" s="32"/>
      <c r="G110" s="32"/>
      <c r="H110" s="32"/>
      <c r="I110" s="32"/>
      <c r="J110" s="32"/>
      <c r="K110" s="32"/>
      <c r="L110" s="32"/>
    </row>
    <row r="111" spans="1:12" s="35" customFormat="1">
      <c r="A111" s="44"/>
      <c r="F111" s="32"/>
      <c r="G111" s="32"/>
      <c r="H111" s="32"/>
      <c r="I111" s="32"/>
      <c r="J111" s="32"/>
      <c r="K111" s="32"/>
      <c r="L111" s="32"/>
    </row>
    <row r="112" spans="1:12" s="35" customFormat="1">
      <c r="A112" s="44"/>
      <c r="F112" s="32"/>
      <c r="G112" s="32"/>
      <c r="H112" s="32"/>
      <c r="I112" s="32"/>
      <c r="J112" s="32"/>
      <c r="K112" s="32"/>
      <c r="L112" s="32"/>
    </row>
    <row r="113" spans="1:12" s="35" customFormat="1">
      <c r="A113" s="44"/>
      <c r="F113" s="32"/>
      <c r="G113" s="32"/>
      <c r="H113" s="32"/>
      <c r="I113" s="32"/>
      <c r="J113" s="32"/>
      <c r="K113" s="32"/>
      <c r="L113" s="32"/>
    </row>
    <row r="114" spans="1:12" s="35" customFormat="1">
      <c r="A114" s="44"/>
      <c r="F114" s="32"/>
      <c r="G114" s="32"/>
      <c r="H114" s="32"/>
      <c r="I114" s="32"/>
      <c r="J114" s="32"/>
      <c r="K114" s="32"/>
      <c r="L114" s="32"/>
    </row>
    <row r="115" spans="1:12" s="35" customFormat="1">
      <c r="A115" s="44"/>
      <c r="F115" s="32"/>
      <c r="G115" s="32"/>
      <c r="H115" s="32"/>
      <c r="I115" s="32"/>
      <c r="J115" s="32"/>
      <c r="K115" s="32"/>
      <c r="L115" s="32"/>
    </row>
    <row r="116" spans="1:12" s="35" customFormat="1">
      <c r="A116" s="44"/>
      <c r="F116" s="32"/>
      <c r="G116" s="32"/>
      <c r="H116" s="32"/>
      <c r="I116" s="32"/>
      <c r="J116" s="32"/>
      <c r="K116" s="32"/>
      <c r="L116" s="32"/>
    </row>
    <row r="117" spans="1:12" s="35" customFormat="1">
      <c r="A117" s="44"/>
      <c r="F117" s="32"/>
      <c r="G117" s="32"/>
      <c r="H117" s="32"/>
      <c r="I117" s="32"/>
      <c r="J117" s="32"/>
      <c r="K117" s="32"/>
      <c r="L117" s="32"/>
    </row>
    <row r="118" spans="1:12" s="35" customFormat="1">
      <c r="A118" s="44"/>
      <c r="F118" s="32"/>
      <c r="G118" s="32"/>
      <c r="H118" s="32"/>
      <c r="I118" s="32"/>
      <c r="J118" s="32"/>
      <c r="K118" s="32"/>
      <c r="L118" s="32"/>
    </row>
    <row r="119" spans="1:12" s="35" customFormat="1">
      <c r="A119" s="44"/>
      <c r="F119" s="32"/>
      <c r="G119" s="32"/>
      <c r="H119" s="32"/>
      <c r="I119" s="32"/>
      <c r="J119" s="32"/>
      <c r="K119" s="32"/>
      <c r="L119" s="32"/>
    </row>
    <row r="120" spans="1:12" s="35" customFormat="1">
      <c r="A120" s="44"/>
      <c r="F120" s="32"/>
      <c r="G120" s="32"/>
      <c r="H120" s="32"/>
      <c r="I120" s="32"/>
      <c r="J120" s="32"/>
      <c r="K120" s="32"/>
      <c r="L120" s="32"/>
    </row>
    <row r="121" spans="1:12" s="35" customFormat="1">
      <c r="A121" s="44"/>
      <c r="F121" s="32"/>
      <c r="G121" s="32"/>
      <c r="H121" s="32"/>
      <c r="I121" s="32"/>
      <c r="J121" s="32"/>
      <c r="K121" s="32"/>
      <c r="L121" s="32"/>
    </row>
    <row r="122" spans="1:12" s="35" customFormat="1">
      <c r="A122" s="44"/>
      <c r="F122" s="32"/>
      <c r="G122" s="32"/>
      <c r="H122" s="32"/>
      <c r="I122" s="32"/>
      <c r="J122" s="32"/>
      <c r="K122" s="32"/>
      <c r="L122" s="32"/>
    </row>
    <row r="123" spans="1:12" s="35" customFormat="1">
      <c r="A123" s="44"/>
      <c r="F123" s="32"/>
      <c r="G123" s="32"/>
      <c r="H123" s="32"/>
      <c r="I123" s="32"/>
      <c r="J123" s="32"/>
      <c r="K123" s="32"/>
      <c r="L123" s="32"/>
    </row>
    <row r="124" spans="1:12" s="35" customFormat="1">
      <c r="A124" s="44"/>
      <c r="F124" s="32"/>
      <c r="G124" s="32"/>
      <c r="H124" s="32"/>
      <c r="I124" s="32"/>
      <c r="J124" s="32"/>
      <c r="K124" s="32"/>
      <c r="L124" s="32"/>
    </row>
    <row r="125" spans="1:12" s="35" customFormat="1">
      <c r="A125" s="44"/>
      <c r="F125" s="32"/>
      <c r="G125" s="32"/>
      <c r="H125" s="32"/>
      <c r="I125" s="32"/>
      <c r="J125" s="32"/>
      <c r="K125" s="32"/>
      <c r="L125" s="32"/>
    </row>
    <row r="126" spans="1:12" s="35" customFormat="1">
      <c r="A126" s="44"/>
      <c r="F126" s="32"/>
      <c r="G126" s="32"/>
      <c r="H126" s="32"/>
      <c r="I126" s="32"/>
      <c r="J126" s="32"/>
      <c r="K126" s="32"/>
      <c r="L126" s="32"/>
    </row>
    <row r="127" spans="1:12" s="35" customFormat="1">
      <c r="A127" s="44"/>
      <c r="F127" s="32"/>
      <c r="G127" s="32"/>
      <c r="H127" s="32"/>
      <c r="I127" s="32"/>
      <c r="J127" s="32"/>
      <c r="K127" s="32"/>
      <c r="L127" s="32"/>
    </row>
    <row r="128" spans="1:12" s="35" customFormat="1">
      <c r="A128" s="44"/>
      <c r="F128" s="32"/>
      <c r="G128" s="32"/>
      <c r="H128" s="32"/>
      <c r="I128" s="32"/>
      <c r="J128" s="32"/>
      <c r="K128" s="32"/>
      <c r="L128" s="32"/>
    </row>
    <row r="129" spans="1:12" s="35" customFormat="1">
      <c r="A129" s="44"/>
      <c r="F129" s="32"/>
      <c r="G129" s="32"/>
      <c r="H129" s="32"/>
      <c r="I129" s="32"/>
      <c r="J129" s="32"/>
      <c r="K129" s="32"/>
      <c r="L129" s="32"/>
    </row>
    <row r="130" spans="1:12" s="35" customFormat="1">
      <c r="A130" s="44"/>
      <c r="F130" s="32"/>
      <c r="G130" s="32"/>
      <c r="H130" s="32"/>
      <c r="I130" s="32"/>
      <c r="J130" s="32"/>
      <c r="K130" s="32"/>
      <c r="L130" s="32"/>
    </row>
    <row r="131" spans="1:12" s="35" customFormat="1">
      <c r="A131" s="44"/>
      <c r="F131" s="32"/>
      <c r="G131" s="32"/>
      <c r="H131" s="32"/>
      <c r="I131" s="32"/>
      <c r="J131" s="32"/>
      <c r="K131" s="32"/>
      <c r="L131" s="32"/>
    </row>
    <row r="132" spans="1:12" s="35" customFormat="1">
      <c r="A132" s="44"/>
      <c r="F132" s="32"/>
      <c r="G132" s="32"/>
      <c r="H132" s="32"/>
      <c r="I132" s="32"/>
      <c r="J132" s="32"/>
      <c r="K132" s="32"/>
      <c r="L132" s="32"/>
    </row>
    <row r="133" spans="1:12" s="35" customFormat="1">
      <c r="A133" s="44"/>
      <c r="F133" s="32"/>
      <c r="G133" s="32"/>
      <c r="H133" s="32"/>
      <c r="I133" s="32"/>
      <c r="J133" s="32"/>
      <c r="K133" s="32"/>
      <c r="L133" s="32"/>
    </row>
    <row r="134" spans="1:12" s="35" customFormat="1">
      <c r="A134" s="44"/>
      <c r="F134" s="32"/>
      <c r="G134" s="32"/>
      <c r="H134" s="32"/>
      <c r="I134" s="32"/>
      <c r="J134" s="32"/>
      <c r="K134" s="32"/>
      <c r="L134" s="32"/>
    </row>
    <row r="135" spans="1:12" s="35" customFormat="1">
      <c r="A135" s="44"/>
      <c r="F135" s="32"/>
      <c r="G135" s="32"/>
      <c r="H135" s="32"/>
      <c r="I135" s="32"/>
      <c r="J135" s="32"/>
      <c r="K135" s="32"/>
      <c r="L135" s="32"/>
    </row>
    <row r="136" spans="1:12" s="35" customFormat="1">
      <c r="A136" s="44"/>
      <c r="F136" s="32"/>
      <c r="G136" s="32"/>
      <c r="H136" s="32"/>
      <c r="I136" s="32"/>
      <c r="J136" s="32"/>
      <c r="K136" s="32"/>
      <c r="L136" s="32"/>
    </row>
    <row r="137" spans="1:12" s="35" customFormat="1">
      <c r="A137" s="44"/>
      <c r="F137" s="32"/>
      <c r="G137" s="32"/>
      <c r="H137" s="32"/>
      <c r="I137" s="32"/>
      <c r="J137" s="32"/>
      <c r="K137" s="32"/>
      <c r="L137" s="32"/>
    </row>
    <row r="138" spans="1:12" s="35" customFormat="1">
      <c r="A138" s="44"/>
      <c r="F138" s="32"/>
      <c r="G138" s="32"/>
      <c r="H138" s="32"/>
      <c r="I138" s="32"/>
      <c r="J138" s="32"/>
      <c r="K138" s="32"/>
      <c r="L138" s="32"/>
    </row>
    <row r="139" spans="1:12" s="35" customFormat="1">
      <c r="A139" s="44"/>
      <c r="F139" s="32"/>
      <c r="G139" s="32"/>
      <c r="H139" s="32"/>
      <c r="I139" s="32"/>
      <c r="J139" s="32"/>
      <c r="K139" s="32"/>
      <c r="L139" s="32"/>
    </row>
    <row r="140" spans="1:12" s="35" customFormat="1">
      <c r="A140" s="44"/>
      <c r="F140" s="32"/>
      <c r="G140" s="32"/>
      <c r="H140" s="32"/>
      <c r="I140" s="32"/>
      <c r="J140" s="32"/>
      <c r="K140" s="32"/>
      <c r="L140" s="32"/>
    </row>
    <row r="141" spans="1:12" s="35" customFormat="1">
      <c r="A141" s="44"/>
      <c r="F141" s="32"/>
      <c r="G141" s="32"/>
      <c r="H141" s="32"/>
      <c r="I141" s="32"/>
      <c r="J141" s="32"/>
      <c r="K141" s="32"/>
      <c r="L141" s="32"/>
    </row>
    <row r="142" spans="1:12" s="35" customFormat="1">
      <c r="A142" s="44"/>
      <c r="F142" s="32"/>
      <c r="G142" s="32"/>
      <c r="H142" s="32"/>
      <c r="I142" s="32"/>
      <c r="J142" s="32"/>
      <c r="K142" s="32"/>
      <c r="L142" s="32"/>
    </row>
    <row r="143" spans="1:12" s="35" customFormat="1">
      <c r="A143" s="44"/>
      <c r="F143" s="32"/>
      <c r="G143" s="32"/>
      <c r="H143" s="32"/>
      <c r="I143" s="32"/>
      <c r="J143" s="32"/>
      <c r="K143" s="32"/>
      <c r="L143" s="32"/>
    </row>
    <row r="144" spans="1:12" s="35" customFormat="1">
      <c r="A144" s="44"/>
      <c r="F144" s="32"/>
      <c r="G144" s="32"/>
      <c r="H144" s="32"/>
      <c r="I144" s="32"/>
      <c r="J144" s="32"/>
      <c r="K144" s="32"/>
      <c r="L144" s="32"/>
    </row>
    <row r="145" spans="1:12" s="35" customFormat="1">
      <c r="A145" s="44"/>
      <c r="F145" s="32"/>
      <c r="G145" s="32"/>
      <c r="H145" s="32"/>
      <c r="I145" s="32"/>
      <c r="J145" s="32"/>
      <c r="K145" s="32"/>
      <c r="L145" s="32"/>
    </row>
    <row r="146" spans="1:12" s="35" customFormat="1">
      <c r="A146" s="44"/>
      <c r="F146" s="32"/>
      <c r="G146" s="32"/>
      <c r="H146" s="32"/>
      <c r="I146" s="32"/>
      <c r="J146" s="32"/>
      <c r="K146" s="32"/>
      <c r="L146" s="32"/>
    </row>
    <row r="147" spans="1:12" s="35" customFormat="1">
      <c r="A147" s="44"/>
      <c r="F147" s="32"/>
      <c r="G147" s="32"/>
      <c r="H147" s="32"/>
      <c r="I147" s="32"/>
      <c r="J147" s="32"/>
      <c r="K147" s="32"/>
      <c r="L147" s="32"/>
    </row>
    <row r="148" spans="1:12" s="35" customFormat="1">
      <c r="A148" s="44"/>
      <c r="F148" s="32"/>
      <c r="G148" s="32"/>
      <c r="H148" s="32"/>
      <c r="I148" s="32"/>
      <c r="J148" s="32"/>
      <c r="K148" s="32"/>
      <c r="L148" s="32"/>
    </row>
    <row r="149" spans="1:12" s="35" customFormat="1">
      <c r="A149" s="44"/>
      <c r="F149" s="32"/>
      <c r="G149" s="32"/>
      <c r="H149" s="32"/>
      <c r="I149" s="32"/>
      <c r="J149" s="32"/>
      <c r="K149" s="32"/>
      <c r="L149" s="32"/>
    </row>
    <row r="150" spans="1:12" s="35" customFormat="1">
      <c r="A150" s="44"/>
      <c r="F150" s="32"/>
      <c r="G150" s="32"/>
      <c r="H150" s="32"/>
      <c r="I150" s="32"/>
      <c r="J150" s="32"/>
      <c r="K150" s="32"/>
      <c r="L150" s="32"/>
    </row>
    <row r="151" spans="1:12" s="35" customFormat="1">
      <c r="A151" s="44"/>
      <c r="F151" s="32"/>
      <c r="G151" s="32"/>
      <c r="H151" s="32"/>
      <c r="I151" s="32"/>
      <c r="J151" s="32"/>
      <c r="K151" s="32"/>
      <c r="L151" s="32"/>
    </row>
    <row r="152" spans="1:12" s="35" customFormat="1">
      <c r="A152" s="44"/>
      <c r="F152" s="32"/>
      <c r="G152" s="32"/>
      <c r="H152" s="32"/>
      <c r="I152" s="32"/>
      <c r="J152" s="32"/>
      <c r="K152" s="32"/>
      <c r="L152" s="32"/>
    </row>
    <row r="153" spans="1:12" s="35" customFormat="1">
      <c r="A153" s="44"/>
      <c r="F153" s="32"/>
      <c r="G153" s="32"/>
      <c r="H153" s="32"/>
      <c r="I153" s="32"/>
      <c r="J153" s="32"/>
      <c r="K153" s="32"/>
      <c r="L153" s="32"/>
    </row>
    <row r="154" spans="1:12" s="35" customFormat="1">
      <c r="A154" s="44"/>
      <c r="F154" s="32"/>
      <c r="G154" s="32"/>
      <c r="H154" s="32"/>
      <c r="I154" s="32"/>
      <c r="J154" s="32"/>
      <c r="K154" s="32"/>
      <c r="L154" s="32"/>
    </row>
    <row r="155" spans="1:12" s="35" customFormat="1">
      <c r="A155" s="44"/>
      <c r="F155" s="32"/>
      <c r="G155" s="32"/>
      <c r="H155" s="32"/>
      <c r="I155" s="32"/>
      <c r="J155" s="32"/>
      <c r="K155" s="32"/>
      <c r="L155" s="32"/>
    </row>
    <row r="156" spans="1:12" s="35" customFormat="1">
      <c r="A156" s="44"/>
      <c r="F156" s="32"/>
      <c r="G156" s="32"/>
      <c r="H156" s="32"/>
      <c r="I156" s="32"/>
      <c r="J156" s="32"/>
      <c r="K156" s="32"/>
      <c r="L156" s="32"/>
    </row>
    <row r="157" spans="1:12" s="35" customFormat="1">
      <c r="A157" s="44"/>
      <c r="F157" s="32"/>
      <c r="G157" s="32"/>
      <c r="H157" s="32"/>
      <c r="I157" s="32"/>
      <c r="J157" s="32"/>
      <c r="K157" s="32"/>
      <c r="L157" s="32"/>
    </row>
    <row r="158" spans="1:12" s="35" customFormat="1">
      <c r="A158" s="44"/>
      <c r="F158" s="32"/>
      <c r="G158" s="32"/>
      <c r="H158" s="32"/>
      <c r="I158" s="32"/>
      <c r="J158" s="32"/>
      <c r="K158" s="32"/>
      <c r="L158" s="32"/>
    </row>
    <row r="159" spans="1:12" s="35" customFormat="1">
      <c r="A159" s="44"/>
      <c r="F159" s="32"/>
      <c r="G159" s="32"/>
      <c r="H159" s="32"/>
      <c r="I159" s="32"/>
      <c r="J159" s="32"/>
      <c r="K159" s="32"/>
      <c r="L159" s="32"/>
    </row>
    <row r="160" spans="1:12" s="35" customFormat="1">
      <c r="A160" s="44"/>
      <c r="F160" s="32"/>
      <c r="G160" s="32"/>
      <c r="H160" s="32"/>
      <c r="I160" s="32"/>
      <c r="J160" s="32"/>
      <c r="K160" s="32"/>
      <c r="L160" s="32"/>
    </row>
    <row r="161" spans="1:12" s="35" customFormat="1">
      <c r="A161" s="44"/>
      <c r="F161" s="32"/>
      <c r="G161" s="32"/>
      <c r="H161" s="32"/>
      <c r="I161" s="32"/>
      <c r="J161" s="32"/>
      <c r="K161" s="32"/>
      <c r="L161" s="32"/>
    </row>
    <row r="162" spans="1:12" s="35" customFormat="1">
      <c r="A162" s="44"/>
      <c r="F162" s="32"/>
      <c r="G162" s="32"/>
      <c r="H162" s="32"/>
      <c r="I162" s="32"/>
      <c r="J162" s="32"/>
      <c r="K162" s="32"/>
      <c r="L162" s="32"/>
    </row>
    <row r="163" spans="1:12" s="35" customFormat="1">
      <c r="A163" s="44"/>
      <c r="F163" s="32"/>
      <c r="G163" s="32"/>
      <c r="H163" s="32"/>
      <c r="I163" s="32"/>
      <c r="J163" s="32"/>
      <c r="K163" s="32"/>
      <c r="L163" s="32"/>
    </row>
    <row r="164" spans="1:12" s="35" customFormat="1">
      <c r="A164" s="44"/>
      <c r="F164" s="32"/>
      <c r="G164" s="32"/>
      <c r="H164" s="32"/>
      <c r="I164" s="32"/>
      <c r="J164" s="32"/>
      <c r="K164" s="32"/>
      <c r="L164" s="32"/>
    </row>
    <row r="165" spans="1:12" s="35" customFormat="1">
      <c r="A165" s="44"/>
      <c r="F165" s="32"/>
      <c r="G165" s="32"/>
      <c r="H165" s="32"/>
      <c r="I165" s="32"/>
      <c r="J165" s="32"/>
      <c r="K165" s="32"/>
      <c r="L165" s="32"/>
    </row>
    <row r="166" spans="1:12" s="35" customFormat="1">
      <c r="A166" s="44"/>
      <c r="F166" s="32"/>
      <c r="G166" s="32"/>
      <c r="H166" s="32"/>
      <c r="I166" s="32"/>
      <c r="J166" s="32"/>
      <c r="K166" s="32"/>
      <c r="L166" s="32"/>
    </row>
    <row r="167" spans="1:12" s="35" customFormat="1">
      <c r="A167" s="44"/>
      <c r="F167" s="32"/>
      <c r="G167" s="32"/>
      <c r="H167" s="32"/>
      <c r="I167" s="32"/>
      <c r="J167" s="32"/>
      <c r="K167" s="32"/>
      <c r="L167" s="32"/>
    </row>
    <row r="168" spans="1:12" s="35" customFormat="1">
      <c r="A168" s="44"/>
      <c r="F168" s="32"/>
      <c r="G168" s="32"/>
      <c r="H168" s="32"/>
      <c r="I168" s="32"/>
      <c r="J168" s="32"/>
      <c r="K168" s="32"/>
      <c r="L168" s="32"/>
    </row>
    <row r="169" spans="1:12" s="35" customFormat="1">
      <c r="A169" s="44"/>
      <c r="F169" s="32"/>
      <c r="G169" s="32"/>
      <c r="H169" s="32"/>
      <c r="I169" s="32"/>
      <c r="J169" s="32"/>
      <c r="K169" s="32"/>
      <c r="L169" s="32"/>
    </row>
    <row r="170" spans="1:12" s="35" customFormat="1">
      <c r="A170" s="44"/>
      <c r="F170" s="32"/>
      <c r="G170" s="32"/>
      <c r="H170" s="32"/>
      <c r="I170" s="32"/>
      <c r="J170" s="32"/>
      <c r="K170" s="32"/>
      <c r="L170" s="32"/>
    </row>
    <row r="171" spans="1:12" s="35" customFormat="1">
      <c r="A171" s="44"/>
      <c r="F171" s="32"/>
      <c r="G171" s="32"/>
      <c r="H171" s="32"/>
      <c r="I171" s="32"/>
      <c r="J171" s="32"/>
      <c r="K171" s="32"/>
      <c r="L171" s="32"/>
    </row>
    <row r="172" spans="1:12" s="35" customFormat="1">
      <c r="A172" s="44"/>
      <c r="F172" s="32"/>
      <c r="G172" s="32"/>
      <c r="H172" s="32"/>
      <c r="I172" s="32"/>
      <c r="J172" s="32"/>
      <c r="K172" s="32"/>
      <c r="L172" s="32"/>
    </row>
    <row r="173" spans="1:12" s="35" customFormat="1">
      <c r="A173" s="44"/>
      <c r="F173" s="32"/>
      <c r="G173" s="32"/>
      <c r="H173" s="32"/>
      <c r="I173" s="32"/>
      <c r="J173" s="32"/>
      <c r="K173" s="32"/>
      <c r="L173" s="32"/>
    </row>
    <row r="174" spans="1:12" s="35" customFormat="1">
      <c r="A174" s="44"/>
      <c r="F174" s="32"/>
      <c r="G174" s="32"/>
      <c r="H174" s="32"/>
      <c r="I174" s="32"/>
      <c r="J174" s="32"/>
      <c r="K174" s="32"/>
      <c r="L174" s="32"/>
    </row>
    <row r="175" spans="1:12" s="35" customFormat="1">
      <c r="A175" s="44"/>
      <c r="F175" s="32"/>
      <c r="G175" s="32"/>
      <c r="H175" s="32"/>
      <c r="I175" s="32"/>
      <c r="J175" s="32"/>
      <c r="K175" s="32"/>
      <c r="L175" s="32"/>
    </row>
    <row r="176" spans="1:12" s="35" customFormat="1">
      <c r="A176" s="44"/>
      <c r="F176" s="32"/>
      <c r="G176" s="32"/>
      <c r="H176" s="32"/>
      <c r="I176" s="32"/>
      <c r="J176" s="32"/>
      <c r="K176" s="32"/>
      <c r="L176" s="32"/>
    </row>
    <row r="177" spans="1:12" s="35" customFormat="1">
      <c r="A177" s="44"/>
      <c r="F177" s="32"/>
      <c r="G177" s="32"/>
      <c r="H177" s="32"/>
      <c r="I177" s="32"/>
      <c r="J177" s="32"/>
      <c r="K177" s="32"/>
      <c r="L177" s="32"/>
    </row>
    <row r="178" spans="1:12" s="35" customFormat="1">
      <c r="A178" s="44"/>
      <c r="F178" s="32"/>
      <c r="G178" s="32"/>
      <c r="H178" s="32"/>
      <c r="I178" s="32"/>
      <c r="J178" s="32"/>
      <c r="K178" s="32"/>
      <c r="L178" s="32"/>
    </row>
    <row r="179" spans="1:12" s="35" customFormat="1">
      <c r="A179" s="44"/>
      <c r="F179" s="32"/>
      <c r="G179" s="32"/>
      <c r="H179" s="32"/>
      <c r="I179" s="32"/>
      <c r="J179" s="32"/>
      <c r="K179" s="32"/>
      <c r="L179" s="32"/>
    </row>
    <row r="180" spans="1:12" s="35" customFormat="1">
      <c r="A180" s="44"/>
      <c r="F180" s="32"/>
      <c r="G180" s="32"/>
      <c r="H180" s="32"/>
      <c r="I180" s="32"/>
      <c r="J180" s="32"/>
      <c r="K180" s="32"/>
      <c r="L180" s="32"/>
    </row>
    <row r="181" spans="1:12" s="35" customFormat="1">
      <c r="A181" s="44"/>
      <c r="F181" s="32"/>
      <c r="G181" s="32"/>
      <c r="H181" s="32"/>
      <c r="I181" s="32"/>
      <c r="J181" s="32"/>
      <c r="K181" s="32"/>
      <c r="L181" s="32"/>
    </row>
    <row r="182" spans="1:12" s="35" customFormat="1">
      <c r="A182" s="44"/>
      <c r="F182" s="32"/>
      <c r="G182" s="32"/>
      <c r="H182" s="32"/>
      <c r="I182" s="32"/>
      <c r="J182" s="32"/>
      <c r="K182" s="32"/>
      <c r="L182" s="32"/>
    </row>
    <row r="183" spans="1:12" s="35" customFormat="1">
      <c r="A183" s="44"/>
      <c r="F183" s="32"/>
      <c r="G183" s="32"/>
      <c r="H183" s="32"/>
      <c r="I183" s="32"/>
      <c r="J183" s="32"/>
      <c r="K183" s="32"/>
      <c r="L183" s="32"/>
    </row>
    <row r="184" spans="1:12" s="35" customFormat="1">
      <c r="A184" s="44"/>
      <c r="F184" s="32"/>
      <c r="G184" s="32"/>
      <c r="H184" s="32"/>
      <c r="I184" s="32"/>
      <c r="J184" s="32"/>
      <c r="K184" s="32"/>
      <c r="L184" s="32"/>
    </row>
    <row r="185" spans="1:12" s="35" customFormat="1">
      <c r="A185" s="44"/>
      <c r="F185" s="32"/>
      <c r="G185" s="32"/>
      <c r="H185" s="32"/>
      <c r="I185" s="32"/>
      <c r="J185" s="32"/>
      <c r="K185" s="32"/>
      <c r="L185" s="32"/>
    </row>
    <row r="186" spans="1:12" s="35" customFormat="1">
      <c r="A186" s="44"/>
      <c r="F186" s="32"/>
      <c r="G186" s="32"/>
      <c r="H186" s="32"/>
      <c r="I186" s="32"/>
      <c r="J186" s="32"/>
      <c r="K186" s="32"/>
      <c r="L186" s="32"/>
    </row>
    <row r="187" spans="1:12" s="35" customFormat="1">
      <c r="A187" s="44"/>
      <c r="F187" s="32"/>
      <c r="G187" s="32"/>
      <c r="H187" s="32"/>
      <c r="I187" s="32"/>
      <c r="J187" s="32"/>
      <c r="K187" s="32"/>
      <c r="L187" s="32"/>
    </row>
    <row r="188" spans="1:12" s="35" customFormat="1">
      <c r="A188" s="44"/>
      <c r="F188" s="32"/>
      <c r="G188" s="32"/>
      <c r="H188" s="32"/>
      <c r="I188" s="32"/>
      <c r="J188" s="32"/>
      <c r="K188" s="32"/>
      <c r="L188" s="32"/>
    </row>
    <row r="189" spans="1:12" s="35" customFormat="1">
      <c r="A189" s="44"/>
      <c r="F189" s="32"/>
      <c r="G189" s="32"/>
      <c r="H189" s="32"/>
      <c r="I189" s="32"/>
      <c r="J189" s="32"/>
      <c r="K189" s="32"/>
      <c r="L189" s="32"/>
    </row>
    <row r="190" spans="1:12" s="35" customFormat="1">
      <c r="A190" s="44"/>
      <c r="F190" s="32"/>
      <c r="G190" s="32"/>
      <c r="H190" s="32"/>
      <c r="I190" s="32"/>
      <c r="J190" s="32"/>
      <c r="K190" s="32"/>
      <c r="L190" s="32"/>
    </row>
    <row r="191" spans="1:12" s="35" customFormat="1">
      <c r="A191" s="44"/>
      <c r="F191" s="32"/>
      <c r="G191" s="32"/>
      <c r="H191" s="32"/>
      <c r="I191" s="32"/>
      <c r="J191" s="32"/>
      <c r="K191" s="32"/>
      <c r="L191" s="32"/>
    </row>
    <row r="192" spans="1:12" s="35" customFormat="1">
      <c r="A192" s="44"/>
      <c r="F192" s="32"/>
      <c r="G192" s="32"/>
      <c r="H192" s="32"/>
      <c r="I192" s="32"/>
      <c r="J192" s="32"/>
      <c r="K192" s="32"/>
      <c r="L192" s="32"/>
    </row>
    <row r="193" spans="1:12" s="35" customFormat="1">
      <c r="A193" s="44"/>
      <c r="F193" s="32"/>
      <c r="G193" s="32"/>
      <c r="H193" s="32"/>
      <c r="I193" s="32"/>
      <c r="J193" s="32"/>
      <c r="K193" s="32"/>
      <c r="L193" s="32"/>
    </row>
  </sheetData>
  <mergeCells count="14">
    <mergeCell ref="A2:J2"/>
    <mergeCell ref="A4:A5"/>
    <mergeCell ref="B4:B5"/>
    <mergeCell ref="C4:C5"/>
    <mergeCell ref="F4:F5"/>
    <mergeCell ref="G4:J4"/>
    <mergeCell ref="D4:D5"/>
    <mergeCell ref="E4:E5"/>
    <mergeCell ref="C43:F43"/>
    <mergeCell ref="H43:J43"/>
    <mergeCell ref="A7:J7"/>
    <mergeCell ref="A17:J17"/>
    <mergeCell ref="C42:F42"/>
    <mergeCell ref="H42:J42"/>
  </mergeCells>
  <phoneticPr fontId="3" type="noConversion"/>
  <printOptions horizontalCentered="1"/>
  <pageMargins left="0.70866141732283472" right="0.19685039370078741" top="0.16" bottom="0.23622047244094491" header="0.19685039370078741" footer="0.23622047244094491"/>
  <pageSetup paperSize="9" scale="59" fitToHeight="2" orientation="portrait" verticalDpi="300" r:id="rId1"/>
  <headerFooter alignWithMargins="0">
    <oddHeader>&amp;C&amp;"Times New Roman,обычный"&amp;14 7&amp;R&amp;"Times New Roman,обычный"&amp;14Продовження додатка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R115"/>
  <sheetViews>
    <sheetView view="pageBreakPreview" topLeftCell="A73" zoomScale="69" zoomScaleNormal="75" zoomScaleSheetLayoutView="69" workbookViewId="0">
      <selection activeCell="E82" sqref="E82"/>
    </sheetView>
  </sheetViews>
  <sheetFormatPr defaultRowHeight="18.75" outlineLevelRow="1"/>
  <cols>
    <col min="1" max="1" width="35" style="2" customWidth="1"/>
    <col min="2" max="2" width="10.140625" style="2" customWidth="1"/>
    <col min="3" max="3" width="11.5703125" style="2" customWidth="1"/>
    <col min="4" max="4" width="13.42578125" style="2" customWidth="1"/>
    <col min="5" max="6" width="11" style="2" customWidth="1"/>
    <col min="7" max="7" width="9.7109375" style="2" customWidth="1"/>
    <col min="8" max="9" width="9.85546875" style="2" customWidth="1"/>
    <col min="10" max="10" width="11.85546875" style="2" customWidth="1"/>
    <col min="11" max="16384" width="9.140625" style="2"/>
  </cols>
  <sheetData>
    <row r="2" spans="1:10">
      <c r="A2" s="362" t="s">
        <v>117</v>
      </c>
      <c r="B2" s="362"/>
      <c r="C2" s="362"/>
      <c r="D2" s="362"/>
      <c r="E2" s="362"/>
      <c r="F2" s="362"/>
      <c r="G2" s="362"/>
      <c r="H2" s="362"/>
      <c r="I2" s="362"/>
      <c r="J2" s="362"/>
    </row>
    <row r="3" spans="1:10" outlineLevel="1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ht="30.75" customHeight="1">
      <c r="A4" s="410" t="s">
        <v>182</v>
      </c>
      <c r="B4" s="412" t="s">
        <v>0</v>
      </c>
      <c r="C4" s="401" t="s">
        <v>399</v>
      </c>
      <c r="D4" s="401" t="s">
        <v>400</v>
      </c>
      <c r="E4" s="384" t="s">
        <v>359</v>
      </c>
      <c r="F4" s="384" t="s">
        <v>360</v>
      </c>
      <c r="G4" s="413" t="s">
        <v>264</v>
      </c>
      <c r="H4" s="413"/>
      <c r="I4" s="413"/>
      <c r="J4" s="413"/>
    </row>
    <row r="5" spans="1:10" ht="30.75" customHeight="1">
      <c r="A5" s="411"/>
      <c r="B5" s="412"/>
      <c r="C5" s="402"/>
      <c r="D5" s="405"/>
      <c r="E5" s="384" t="s">
        <v>355</v>
      </c>
      <c r="F5" s="384"/>
      <c r="G5" s="45" t="s">
        <v>144</v>
      </c>
      <c r="H5" s="45" t="s">
        <v>145</v>
      </c>
      <c r="I5" s="45" t="s">
        <v>146</v>
      </c>
      <c r="J5" s="45" t="s">
        <v>55</v>
      </c>
    </row>
    <row r="6" spans="1:10" ht="18" customHeight="1">
      <c r="A6" s="64">
        <v>1</v>
      </c>
      <c r="B6" s="45">
        <v>2</v>
      </c>
      <c r="C6" s="45">
        <v>3</v>
      </c>
      <c r="D6" s="45">
        <v>4</v>
      </c>
      <c r="E6" s="45">
        <v>5</v>
      </c>
      <c r="F6" s="45">
        <v>6</v>
      </c>
      <c r="G6" s="45">
        <v>7</v>
      </c>
      <c r="H6" s="45">
        <v>8</v>
      </c>
      <c r="I6" s="45">
        <v>9</v>
      </c>
      <c r="J6" s="45">
        <v>10</v>
      </c>
    </row>
    <row r="7" spans="1:10" s="43" customFormat="1" ht="30.75" customHeight="1">
      <c r="A7" s="406" t="s">
        <v>121</v>
      </c>
      <c r="B7" s="406"/>
      <c r="C7" s="406"/>
      <c r="D7" s="406"/>
      <c r="E7" s="406"/>
      <c r="F7" s="406"/>
      <c r="G7" s="406"/>
      <c r="H7" s="406"/>
      <c r="I7" s="406"/>
      <c r="J7" s="406"/>
    </row>
    <row r="8" spans="1:10" ht="35.25" customHeight="1">
      <c r="A8" s="105" t="s">
        <v>133</v>
      </c>
      <c r="B8" s="106">
        <v>1200</v>
      </c>
      <c r="C8" s="90">
        <f>'1.Фінансовий результат'!C101</f>
        <v>42.899999999999281</v>
      </c>
      <c r="D8" s="90">
        <f>'1.Фінансовий результат'!D101</f>
        <v>39.99000000000153</v>
      </c>
      <c r="E8" s="90">
        <f>'1.Фінансовий результат'!E101</f>
        <v>33.537429113075973</v>
      </c>
      <c r="F8" s="90">
        <f>G8+H8+I8+J8</f>
        <v>27.950000000000017</v>
      </c>
      <c r="G8" s="90">
        <f>'1.Фінансовий результат'!G101</f>
        <v>7.9999999999999183</v>
      </c>
      <c r="H8" s="90">
        <f>'1.Фінансовий результат'!H101</f>
        <v>6.2000000000004523</v>
      </c>
      <c r="I8" s="90">
        <f>'1.Фінансовий результат'!I101</f>
        <v>6.5500000000000362</v>
      </c>
      <c r="J8" s="90">
        <f>'1.Фінансовий результат'!J101</f>
        <v>7.1999999999996103</v>
      </c>
    </row>
    <row r="9" spans="1:10" ht="20.100000000000001" customHeight="1">
      <c r="A9" s="105" t="s">
        <v>134</v>
      </c>
      <c r="B9" s="107"/>
      <c r="C9" s="57"/>
      <c r="D9" s="57"/>
      <c r="E9" s="57"/>
      <c r="F9" s="57"/>
      <c r="G9" s="57"/>
      <c r="H9" s="57"/>
      <c r="I9" s="57"/>
      <c r="J9" s="57"/>
    </row>
    <row r="10" spans="1:10" ht="20.100000000000001" customHeight="1">
      <c r="A10" s="105" t="s">
        <v>136</v>
      </c>
      <c r="B10" s="108">
        <v>3000</v>
      </c>
      <c r="C10" s="90"/>
      <c r="D10" s="90"/>
      <c r="E10" s="90"/>
      <c r="F10" s="90"/>
      <c r="G10" s="90"/>
      <c r="H10" s="90"/>
      <c r="I10" s="90"/>
      <c r="J10" s="90"/>
    </row>
    <row r="11" spans="1:10" ht="20.100000000000001" customHeight="1">
      <c r="A11" s="105" t="s">
        <v>137</v>
      </c>
      <c r="B11" s="108">
        <v>3010</v>
      </c>
      <c r="C11" s="90"/>
      <c r="D11" s="90"/>
      <c r="E11" s="90"/>
      <c r="F11" s="90"/>
      <c r="G11" s="90"/>
      <c r="H11" s="90"/>
      <c r="I11" s="90"/>
      <c r="J11" s="90"/>
    </row>
    <row r="12" spans="1:10" ht="20.100000000000001" customHeight="1">
      <c r="A12" s="105" t="s">
        <v>138</v>
      </c>
      <c r="B12" s="108">
        <v>3020</v>
      </c>
      <c r="C12" s="90"/>
      <c r="D12" s="90"/>
      <c r="E12" s="90"/>
      <c r="F12" s="90"/>
      <c r="G12" s="90"/>
      <c r="H12" s="90"/>
      <c r="I12" s="90"/>
      <c r="J12" s="90"/>
    </row>
    <row r="13" spans="1:10" ht="51.75" customHeight="1">
      <c r="A13" s="105" t="s">
        <v>139</v>
      </c>
      <c r="B13" s="108">
        <v>3030</v>
      </c>
      <c r="C13" s="90"/>
      <c r="D13" s="90"/>
      <c r="E13" s="90"/>
      <c r="F13" s="90"/>
      <c r="G13" s="90"/>
      <c r="H13" s="90"/>
      <c r="I13" s="90"/>
      <c r="J13" s="90"/>
    </row>
    <row r="14" spans="1:10" ht="48" customHeight="1">
      <c r="A14" s="104" t="s">
        <v>175</v>
      </c>
      <c r="B14" s="108">
        <v>3040</v>
      </c>
      <c r="C14" s="90"/>
      <c r="D14" s="90"/>
      <c r="E14" s="90"/>
      <c r="F14" s="90"/>
      <c r="G14" s="90"/>
      <c r="H14" s="90"/>
      <c r="I14" s="90"/>
      <c r="J14" s="90"/>
    </row>
    <row r="15" spans="1:10" ht="34.5" customHeight="1">
      <c r="A15" s="105" t="s">
        <v>140</v>
      </c>
      <c r="B15" s="108">
        <v>3050</v>
      </c>
      <c r="C15" s="90"/>
      <c r="D15" s="90"/>
      <c r="E15" s="90"/>
      <c r="F15" s="90"/>
      <c r="G15" s="90"/>
      <c r="H15" s="90"/>
      <c r="I15" s="90"/>
      <c r="J15" s="90"/>
    </row>
    <row r="16" spans="1:10" ht="50.25" customHeight="1">
      <c r="A16" s="105" t="s">
        <v>141</v>
      </c>
      <c r="B16" s="108">
        <v>3060</v>
      </c>
      <c r="C16" s="90"/>
      <c r="D16" s="90"/>
      <c r="E16" s="90"/>
      <c r="F16" s="90"/>
      <c r="G16" s="90"/>
      <c r="H16" s="90"/>
      <c r="I16" s="90"/>
      <c r="J16" s="90"/>
    </row>
    <row r="17" spans="1:10" ht="32.25" customHeight="1">
      <c r="A17" s="104" t="s">
        <v>300</v>
      </c>
      <c r="B17" s="108">
        <v>3070</v>
      </c>
      <c r="C17" s="118">
        <f t="shared" ref="C17:J17" si="0">C18</f>
        <v>15485.199999999999</v>
      </c>
      <c r="D17" s="118">
        <f t="shared" si="0"/>
        <v>15217</v>
      </c>
      <c r="E17" s="118">
        <f>'1.Фінансовий результат'!E13</f>
        <v>17588.5</v>
      </c>
      <c r="F17" s="118">
        <f t="shared" si="0"/>
        <v>21846.350000000002</v>
      </c>
      <c r="G17" s="118">
        <f t="shared" si="0"/>
        <v>5038</v>
      </c>
      <c r="H17" s="118">
        <f t="shared" si="0"/>
        <v>5864.2000000000007</v>
      </c>
      <c r="I17" s="118">
        <f t="shared" si="0"/>
        <v>5405.45</v>
      </c>
      <c r="J17" s="118">
        <f t="shared" si="0"/>
        <v>5538.7</v>
      </c>
    </row>
    <row r="18" spans="1:10" ht="23.25" customHeight="1">
      <c r="A18" s="109" t="s">
        <v>295</v>
      </c>
      <c r="B18" s="108" t="s">
        <v>302</v>
      </c>
      <c r="C18" s="118">
        <f t="shared" ref="C18:J18" si="1">C19</f>
        <v>15485.199999999999</v>
      </c>
      <c r="D18" s="118">
        <f t="shared" si="1"/>
        <v>15217</v>
      </c>
      <c r="E18" s="118">
        <f t="shared" si="1"/>
        <v>17588.5</v>
      </c>
      <c r="F18" s="118">
        <f t="shared" si="1"/>
        <v>21846.350000000002</v>
      </c>
      <c r="G18" s="118">
        <f t="shared" si="1"/>
        <v>5038</v>
      </c>
      <c r="H18" s="118">
        <f t="shared" si="1"/>
        <v>5864.2000000000007</v>
      </c>
      <c r="I18" s="118">
        <f t="shared" si="1"/>
        <v>5405.45</v>
      </c>
      <c r="J18" s="118">
        <f t="shared" si="1"/>
        <v>5538.7</v>
      </c>
    </row>
    <row r="19" spans="1:10" ht="36.75" customHeight="1">
      <c r="A19" s="137" t="s">
        <v>296</v>
      </c>
      <c r="B19" s="108" t="s">
        <v>305</v>
      </c>
      <c r="C19" s="90">
        <f>'1.Фінансовий результат'!C13</f>
        <v>15485.199999999999</v>
      </c>
      <c r="D19" s="90">
        <f>'1.Фінансовий результат'!D13</f>
        <v>15217</v>
      </c>
      <c r="E19" s="90">
        <f>'1.Фінансовий результат'!E13</f>
        <v>17588.5</v>
      </c>
      <c r="F19" s="90">
        <f>'1.Фінансовий результат'!F13</f>
        <v>21846.350000000002</v>
      </c>
      <c r="G19" s="90">
        <f>'1.Фінансовий результат'!G13</f>
        <v>5038</v>
      </c>
      <c r="H19" s="90">
        <f>'1.Фінансовий результат'!H13</f>
        <v>5864.2000000000007</v>
      </c>
      <c r="I19" s="90">
        <f>'1.Фінансовий результат'!I13</f>
        <v>5405.45</v>
      </c>
      <c r="J19" s="90">
        <f>'1.Фінансовий результат'!J13</f>
        <v>5538.7</v>
      </c>
    </row>
    <row r="20" spans="1:10" ht="19.5" customHeight="1">
      <c r="A20" s="109" t="s">
        <v>297</v>
      </c>
      <c r="B20" s="108" t="s">
        <v>303</v>
      </c>
      <c r="C20" s="118">
        <f>C21+C22+C23+C24+C25</f>
        <v>15441.836452000003</v>
      </c>
      <c r="D20" s="118">
        <f>'1.Фінансовий результат'!D106-D28-D27</f>
        <v>15177.009999999998</v>
      </c>
      <c r="E20" s="118">
        <f>'1.Фінансовий результат'!E116</f>
        <v>17529.702107609999</v>
      </c>
      <c r="F20" s="118">
        <f>'1.Фінансовий результат'!F106-F28-F27</f>
        <v>21818.400000000001</v>
      </c>
      <c r="G20" s="118">
        <f>'1.Фінансовий результат'!G106-G28-G27</f>
        <v>5030</v>
      </c>
      <c r="H20" s="118">
        <f>'1.Фінансовий результат'!H106-H28-H27</f>
        <v>5858</v>
      </c>
      <c r="I20" s="118">
        <f>'1.Фінансовий результат'!I106-I28-I27</f>
        <v>5398.9</v>
      </c>
      <c r="J20" s="118">
        <f>'1.Фінансовий результат'!J106-J28-J27</f>
        <v>5531.5</v>
      </c>
    </row>
    <row r="21" spans="1:10" ht="23.25" customHeight="1">
      <c r="A21" s="137" t="s">
        <v>414</v>
      </c>
      <c r="B21" s="108" t="s">
        <v>306</v>
      </c>
      <c r="C21" s="90">
        <v>5421.1</v>
      </c>
      <c r="D21" s="90">
        <f t="shared" ref="D21:J21" si="2">D20-D22-D23-D24-D25</f>
        <v>4434.4132</v>
      </c>
      <c r="E21" s="90">
        <v>3383.3</v>
      </c>
      <c r="F21" s="90">
        <f t="shared" si="2"/>
        <v>5766.3000000000011</v>
      </c>
      <c r="G21" s="90">
        <f>G20-G22-G23-G24-G25</f>
        <v>1207.5999999999999</v>
      </c>
      <c r="H21" s="90">
        <f t="shared" si="2"/>
        <v>1931.4</v>
      </c>
      <c r="I21" s="90">
        <f t="shared" si="2"/>
        <v>1318.8999999999996</v>
      </c>
      <c r="J21" s="90">
        <f t="shared" si="2"/>
        <v>1308.4000000000001</v>
      </c>
    </row>
    <row r="22" spans="1:10" ht="21" customHeight="1">
      <c r="A22" s="137" t="s">
        <v>298</v>
      </c>
      <c r="B22" s="108" t="s">
        <v>307</v>
      </c>
      <c r="C22" s="138">
        <f>'1.Фінансовий результат'!C112</f>
        <v>6961.0000000000009</v>
      </c>
      <c r="D22" s="138">
        <f>'1.Фінансовий результат'!D112</f>
        <v>7436.7999999999993</v>
      </c>
      <c r="E22" s="138">
        <f>'1.Фінансовий результат'!E112</f>
        <v>9139.261489999999</v>
      </c>
      <c r="F22" s="138">
        <f>'1.Фінансовий результат'!F112</f>
        <v>11189.5</v>
      </c>
      <c r="G22" s="138">
        <f>'1.Фінансовий результат'!G112</f>
        <v>2664.6</v>
      </c>
      <c r="H22" s="138">
        <f>'1.Фінансовий результат'!H112</f>
        <v>2734.6</v>
      </c>
      <c r="I22" s="138">
        <f>'1.Фінансовий результат'!I112</f>
        <v>2844.9</v>
      </c>
      <c r="J22" s="138">
        <f>'1.Фінансовий результат'!J112</f>
        <v>2945.4</v>
      </c>
    </row>
    <row r="23" spans="1:10" ht="33.75" customHeight="1">
      <c r="A23" s="137" t="s">
        <v>3</v>
      </c>
      <c r="B23" s="108" t="s">
        <v>308</v>
      </c>
      <c r="C23" s="90">
        <f>'1.Фінансовий результат'!C113</f>
        <v>1510.5</v>
      </c>
      <c r="D23" s="90">
        <f>'1.Фінансовий результат'!D113</f>
        <v>1636.1099999999997</v>
      </c>
      <c r="E23" s="90">
        <f>'1.Фінансовий результат'!E113</f>
        <v>2010.6375277999998</v>
      </c>
      <c r="F23" s="90">
        <f>'1.Фінансовий результат'!F113</f>
        <v>2461.6</v>
      </c>
      <c r="G23" s="90">
        <f>'1.Фінансовий результат'!G113</f>
        <v>586.20000000000005</v>
      </c>
      <c r="H23" s="90">
        <f>'1.Фінансовий результат'!H113</f>
        <v>601.6</v>
      </c>
      <c r="I23" s="90">
        <f>'1.Фінансовий результат'!I113</f>
        <v>625.79999999999995</v>
      </c>
      <c r="J23" s="90">
        <f>'1.Фінансовий результат'!J113</f>
        <v>648</v>
      </c>
    </row>
    <row r="24" spans="1:10" ht="18" customHeight="1">
      <c r="A24" s="137" t="s">
        <v>299</v>
      </c>
      <c r="B24" s="108" t="s">
        <v>309</v>
      </c>
      <c r="C24" s="90">
        <f>'2. Розрахунки з бюджетом'!C22+0.4</f>
        <v>1504.2364520000003</v>
      </c>
      <c r="D24" s="90">
        <f>'2. Розрахунки з бюджетом'!D22</f>
        <v>1573.9759999999997</v>
      </c>
      <c r="E24" s="90">
        <f>'2. Розрахунки з бюджетом'!E22</f>
        <v>1852.1559905499998</v>
      </c>
      <c r="F24" s="90">
        <f>'2. Розрахунки з бюджетом'!F22</f>
        <v>2262.4</v>
      </c>
      <c r="G24" s="90">
        <f>'2. Розрахунки з бюджетом'!G22</f>
        <v>539.6</v>
      </c>
      <c r="H24" s="90">
        <f>'2. Розрахунки з бюджетом'!H22</f>
        <v>553.20000000000005</v>
      </c>
      <c r="I24" s="90">
        <f>'2. Розрахунки з бюджетом'!I22</f>
        <v>575</v>
      </c>
      <c r="J24" s="90">
        <f>'2. Розрахунки з бюджетом'!J22</f>
        <v>594.6</v>
      </c>
    </row>
    <row r="25" spans="1:10" ht="30" customHeight="1">
      <c r="A25" s="137" t="s">
        <v>301</v>
      </c>
      <c r="B25" s="108" t="s">
        <v>310</v>
      </c>
      <c r="C25" s="90">
        <f>'2. Розрахунки з бюджетом'!C20</f>
        <v>45</v>
      </c>
      <c r="D25" s="90">
        <f>'2. Розрахунки з бюджетом'!D20</f>
        <v>95.710799999999978</v>
      </c>
      <c r="E25" s="90">
        <f>'2. Розрахунки з бюджетом'!E20</f>
        <v>106.39859999999999</v>
      </c>
      <c r="F25" s="90">
        <f>'2. Розрахунки з бюджетом'!F20</f>
        <v>138.6</v>
      </c>
      <c r="G25" s="90">
        <f>'2. Розрахунки з бюджетом'!G20</f>
        <v>32</v>
      </c>
      <c r="H25" s="90">
        <f>'2. Розрахунки з бюджетом'!H20</f>
        <v>37.200000000000003</v>
      </c>
      <c r="I25" s="90">
        <f>'2. Розрахунки з бюджетом'!I20</f>
        <v>34.299999999999997</v>
      </c>
      <c r="J25" s="90">
        <f>'2. Розрахунки з бюджетом'!J20</f>
        <v>35.1</v>
      </c>
    </row>
    <row r="26" spans="1:10" ht="17.25" customHeight="1">
      <c r="A26" s="137" t="s">
        <v>304</v>
      </c>
      <c r="B26" s="108" t="s">
        <v>311</v>
      </c>
      <c r="C26" s="90"/>
      <c r="D26" s="90"/>
      <c r="E26" s="90"/>
      <c r="F26" s="90"/>
      <c r="G26" s="90"/>
      <c r="H26" s="90"/>
      <c r="I26" s="90"/>
      <c r="J26" s="90"/>
    </row>
    <row r="27" spans="1:10" ht="20.100000000000001" customHeight="1">
      <c r="A27" s="105" t="s">
        <v>135</v>
      </c>
      <c r="B27" s="108">
        <v>3080</v>
      </c>
      <c r="C27" s="90">
        <f>'2. Розрахунки з бюджетом'!C19</f>
        <v>7.8</v>
      </c>
      <c r="D27" s="90">
        <f>'2. Розрахунки з бюджетом'!D19</f>
        <v>7.2</v>
      </c>
      <c r="E27" s="90">
        <f>'2. Розрахунки з бюджетом'!E19</f>
        <v>6.0367372403536752</v>
      </c>
      <c r="F27" s="90">
        <f>'1.Фінансовий результат'!F102</f>
        <v>5</v>
      </c>
      <c r="G27" s="90">
        <f>'1.Фінансовий результат'!G102</f>
        <v>1.4</v>
      </c>
      <c r="H27" s="90">
        <f>'1.Фінансовий результат'!H102</f>
        <v>1.1000000000000001</v>
      </c>
      <c r="I27" s="90">
        <f>'1.Фінансовий результат'!I102</f>
        <v>1.2</v>
      </c>
      <c r="J27" s="90">
        <f>'1.Фінансовий результат'!J102</f>
        <v>1.3</v>
      </c>
    </row>
    <row r="28" spans="1:10" ht="31.5" customHeight="1">
      <c r="A28" s="109" t="s">
        <v>120</v>
      </c>
      <c r="B28" s="108">
        <v>3090</v>
      </c>
      <c r="C28" s="118">
        <f>'1.Фінансовий результат'!C104</f>
        <v>35.099999999999284</v>
      </c>
      <c r="D28" s="118">
        <f>'1.Фінансовий результат'!D104</f>
        <v>32.790000000001527</v>
      </c>
      <c r="E28" s="118">
        <f>'1.Фінансовий результат'!E104</f>
        <v>27.5006918727223</v>
      </c>
      <c r="F28" s="118">
        <f>'1.Фінансовий результат'!F104</f>
        <v>22.949999999999989</v>
      </c>
      <c r="G28" s="118">
        <f>'1.Фінансовий результат'!G104</f>
        <v>6.5999999999999179</v>
      </c>
      <c r="H28" s="118">
        <f>'1.Фінансовий результат'!H104</f>
        <v>5.1000000000004526</v>
      </c>
      <c r="I28" s="118">
        <f>'1.Фінансовий результат'!I104</f>
        <v>5.3500000000000361</v>
      </c>
      <c r="J28" s="118">
        <f>'1.Фінансовий результат'!J104</f>
        <v>5.8999999999996104</v>
      </c>
    </row>
    <row r="29" spans="1:10" ht="33.75" customHeight="1">
      <c r="A29" s="406" t="s">
        <v>122</v>
      </c>
      <c r="B29" s="406"/>
      <c r="C29" s="406"/>
      <c r="D29" s="406"/>
      <c r="E29" s="406"/>
      <c r="F29" s="406"/>
      <c r="G29" s="406"/>
      <c r="H29" s="406"/>
      <c r="I29" s="406"/>
      <c r="J29" s="406"/>
    </row>
    <row r="30" spans="1:10" ht="21.75" customHeight="1">
      <c r="A30" s="104" t="s">
        <v>186</v>
      </c>
      <c r="B30" s="106"/>
      <c r="C30" s="90"/>
      <c r="D30" s="90"/>
      <c r="E30" s="90"/>
      <c r="F30" s="90"/>
      <c r="G30" s="90"/>
      <c r="H30" s="90"/>
      <c r="I30" s="90"/>
      <c r="J30" s="90"/>
    </row>
    <row r="31" spans="1:10" ht="33.75" customHeight="1">
      <c r="A31" s="65" t="s">
        <v>14</v>
      </c>
      <c r="B31" s="106">
        <v>3200</v>
      </c>
      <c r="C31" s="91"/>
      <c r="D31" s="91"/>
      <c r="E31" s="91"/>
      <c r="F31" s="91"/>
      <c r="G31" s="91"/>
      <c r="H31" s="91"/>
      <c r="I31" s="91"/>
      <c r="J31" s="91"/>
    </row>
    <row r="32" spans="1:10" ht="39" customHeight="1">
      <c r="A32" s="65" t="s">
        <v>15</v>
      </c>
      <c r="B32" s="106">
        <v>3210</v>
      </c>
      <c r="C32" s="91"/>
      <c r="D32" s="91"/>
      <c r="E32" s="91"/>
      <c r="F32" s="133"/>
      <c r="G32" s="91"/>
      <c r="H32" s="91"/>
      <c r="I32" s="91"/>
      <c r="J32" s="91"/>
    </row>
    <row r="33" spans="1:18" ht="32.25" customHeight="1">
      <c r="A33" s="65" t="s">
        <v>36</v>
      </c>
      <c r="B33" s="106">
        <v>3220</v>
      </c>
      <c r="C33" s="91"/>
      <c r="D33" s="91"/>
      <c r="E33" s="91"/>
      <c r="F33" s="91"/>
      <c r="G33" s="91"/>
      <c r="H33" s="91"/>
      <c r="I33" s="91"/>
      <c r="J33" s="91"/>
    </row>
    <row r="34" spans="1:18" ht="20.100000000000001" customHeight="1">
      <c r="A34" s="105"/>
      <c r="B34" s="106"/>
      <c r="C34" s="90"/>
      <c r="D34" s="90"/>
      <c r="E34" s="90"/>
      <c r="F34" s="90"/>
      <c r="G34" s="90"/>
      <c r="H34" s="90"/>
      <c r="I34" s="90"/>
      <c r="J34" s="90"/>
    </row>
    <row r="35" spans="1:18" ht="20.100000000000001" customHeight="1">
      <c r="A35" s="65" t="s">
        <v>126</v>
      </c>
      <c r="B35" s="106">
        <v>3230</v>
      </c>
      <c r="C35" s="91"/>
      <c r="D35" s="91"/>
      <c r="E35" s="91"/>
      <c r="F35" s="91"/>
      <c r="G35" s="91"/>
      <c r="H35" s="91"/>
      <c r="I35" s="91"/>
      <c r="J35" s="91"/>
    </row>
    <row r="36" spans="1:18" ht="20.100000000000001" customHeight="1">
      <c r="A36" s="65" t="s">
        <v>127</v>
      </c>
      <c r="B36" s="106">
        <v>3240</v>
      </c>
      <c r="C36" s="91"/>
      <c r="D36" s="91"/>
      <c r="E36" s="91"/>
      <c r="F36" s="91"/>
      <c r="G36" s="91"/>
      <c r="H36" s="91"/>
      <c r="I36" s="91"/>
      <c r="J36" s="91"/>
    </row>
    <row r="37" spans="1:18" ht="20.100000000000001" customHeight="1">
      <c r="A37" s="105" t="s">
        <v>128</v>
      </c>
      <c r="B37" s="106">
        <v>3250</v>
      </c>
      <c r="C37" s="91"/>
      <c r="D37" s="91"/>
      <c r="E37" s="91"/>
      <c r="F37" s="91"/>
      <c r="G37" s="91"/>
      <c r="H37" s="91"/>
      <c r="I37" s="91"/>
      <c r="J37" s="91"/>
    </row>
    <row r="38" spans="1:18" ht="33.75" customHeight="1">
      <c r="A38" s="65" t="s">
        <v>96</v>
      </c>
      <c r="B38" s="106">
        <v>3260</v>
      </c>
      <c r="C38" s="91"/>
      <c r="D38" s="91"/>
      <c r="E38" s="91"/>
      <c r="F38" s="91"/>
      <c r="G38" s="90"/>
      <c r="H38" s="90"/>
      <c r="I38" s="90"/>
      <c r="J38" s="90"/>
    </row>
    <row r="39" spans="1:18" ht="46.5" hidden="1" customHeight="1" outlineLevel="1">
      <c r="A39" s="318" t="str">
        <f>'4. Кап. інвестиції'!A13</f>
        <v xml:space="preserve">Придбання 20 контейнерів для збирання твердих побутових відходів 1,1м3 на кладовище міста </v>
      </c>
      <c r="B39" s="319"/>
      <c r="C39" s="320"/>
      <c r="D39" s="320"/>
      <c r="E39" s="320"/>
      <c r="F39" s="321">
        <f>G39+H39+I39+J39</f>
        <v>205.53672</v>
      </c>
      <c r="G39" s="322">
        <f>'4. Кап. інвестиції'!G13</f>
        <v>205.53672</v>
      </c>
      <c r="H39" s="322">
        <f>'4. Кап. інвестиції'!H13</f>
        <v>0</v>
      </c>
      <c r="I39" s="322">
        <f>'4. Кап. інвестиції'!I13</f>
        <v>0</v>
      </c>
      <c r="J39" s="322">
        <f>'4. Кап. інвестиції'!J13</f>
        <v>0</v>
      </c>
    </row>
    <row r="40" spans="1:18" ht="33" hidden="1" customHeight="1" outlineLevel="1">
      <c r="A40" s="318" t="str">
        <f>'4. Кап. інвестиції'!A17</f>
        <v>Екскаватор - навантажувач "Катерпіллар"</v>
      </c>
      <c r="B40" s="319"/>
      <c r="C40" s="320"/>
      <c r="D40" s="320"/>
      <c r="E40" s="320"/>
      <c r="F40" s="321">
        <f>G40+H40+I40+J40</f>
        <v>1890</v>
      </c>
      <c r="G40" s="322">
        <f>'4. Кап. інвестиції'!G17</f>
        <v>0</v>
      </c>
      <c r="H40" s="322">
        <f>'4. Кап. інвестиції'!H17</f>
        <v>1890</v>
      </c>
      <c r="I40" s="322">
        <f>'4. Кап. інвестиції'!I17</f>
        <v>0</v>
      </c>
      <c r="J40" s="322">
        <f>'4. Кап. інвестиції'!J17</f>
        <v>0</v>
      </c>
    </row>
    <row r="41" spans="1:18" ht="49.5" hidden="1" customHeight="1" outlineLevel="1">
      <c r="A41" s="318" t="str">
        <f>'4. Кап. інвестиції'!A18</f>
        <v>Мікроавтобус для транспортування до моргу померлих на судмедекспертизу</v>
      </c>
      <c r="B41" s="319"/>
      <c r="C41" s="320"/>
      <c r="D41" s="320"/>
      <c r="E41" s="320"/>
      <c r="F41" s="321">
        <f>G41+H41+I41+J41</f>
        <v>890.5</v>
      </c>
      <c r="G41" s="322">
        <f>'4. Кап. інвестиції'!G18</f>
        <v>0</v>
      </c>
      <c r="H41" s="322">
        <f>'4. Кап. інвестиції'!H18</f>
        <v>890.5</v>
      </c>
      <c r="I41" s="322">
        <f>'4. Кап. інвестиції'!I18</f>
        <v>0</v>
      </c>
      <c r="J41" s="322">
        <f>'4. Кап. інвестиції'!J18</f>
        <v>0</v>
      </c>
    </row>
    <row r="42" spans="1:18" ht="21.75" hidden="1" customHeight="1" outlineLevel="1">
      <c r="A42" s="318" t="str">
        <f>'4. Кап. інвестиції'!A19</f>
        <v xml:space="preserve">Автобус  для супроводу </v>
      </c>
      <c r="B42" s="319"/>
      <c r="C42" s="320"/>
      <c r="D42" s="320"/>
      <c r="E42" s="320"/>
      <c r="F42" s="321">
        <f>G42+H42+I42+J42</f>
        <v>2500</v>
      </c>
      <c r="G42" s="322">
        <f>'4. Кап. інвестиції'!G19</f>
        <v>0</v>
      </c>
      <c r="H42" s="322">
        <f>'4. Кап. інвестиції'!H19</f>
        <v>0</v>
      </c>
      <c r="I42" s="322">
        <f>'4. Кап. інвестиції'!I19</f>
        <v>2500</v>
      </c>
      <c r="J42" s="322">
        <f>'4. Кап. інвестиції'!J19</f>
        <v>0</v>
      </c>
    </row>
    <row r="43" spans="1:18" ht="20.100000000000001" customHeight="1" collapsed="1">
      <c r="A43" s="104" t="s">
        <v>188</v>
      </c>
      <c r="B43" s="106"/>
      <c r="C43" s="90"/>
      <c r="D43" s="90"/>
      <c r="E43" s="90"/>
      <c r="F43" s="90"/>
      <c r="G43" s="90"/>
      <c r="H43" s="90"/>
      <c r="I43" s="90"/>
      <c r="J43" s="90"/>
    </row>
    <row r="44" spans="1:18" ht="33.75" customHeight="1">
      <c r="A44" s="65" t="s">
        <v>97</v>
      </c>
      <c r="B44" s="106">
        <v>3270</v>
      </c>
      <c r="C44" s="91"/>
      <c r="D44" s="91"/>
      <c r="E44" s="91"/>
      <c r="F44" s="91"/>
      <c r="G44" s="91"/>
      <c r="H44" s="91"/>
      <c r="I44" s="91"/>
      <c r="J44" s="91"/>
    </row>
    <row r="45" spans="1:18" ht="36" customHeight="1">
      <c r="A45" s="65" t="s">
        <v>98</v>
      </c>
      <c r="B45" s="106">
        <v>3280</v>
      </c>
      <c r="C45" s="91"/>
      <c r="D45" s="91"/>
      <c r="E45" s="91"/>
      <c r="F45" s="91"/>
      <c r="G45" s="91"/>
      <c r="H45" s="91"/>
      <c r="I45" s="91"/>
      <c r="J45" s="91"/>
    </row>
    <row r="46" spans="1:18" ht="44.25" customHeight="1">
      <c r="A46" s="65" t="s">
        <v>99</v>
      </c>
      <c r="B46" s="106">
        <v>3290</v>
      </c>
      <c r="C46" s="91"/>
      <c r="D46" s="91"/>
      <c r="E46" s="91"/>
      <c r="F46" s="91"/>
      <c r="G46" s="91"/>
      <c r="H46" s="91"/>
      <c r="I46" s="91"/>
      <c r="J46" s="91"/>
    </row>
    <row r="47" spans="1:18" ht="20.100000000000001" customHeight="1">
      <c r="A47" s="65" t="s">
        <v>37</v>
      </c>
      <c r="B47" s="106">
        <v>3300</v>
      </c>
      <c r="C47" s="110"/>
      <c r="D47" s="110"/>
      <c r="E47" s="110"/>
      <c r="F47" s="91"/>
      <c r="G47" s="91"/>
      <c r="H47" s="91"/>
      <c r="I47" s="91"/>
      <c r="J47" s="91"/>
      <c r="R47" s="26"/>
    </row>
    <row r="48" spans="1:18" ht="20.100000000000001" customHeight="1">
      <c r="A48" s="65" t="s">
        <v>90</v>
      </c>
      <c r="B48" s="106">
        <v>3310</v>
      </c>
      <c r="C48" s="91"/>
      <c r="D48" s="91"/>
      <c r="E48" s="91"/>
      <c r="F48" s="91"/>
      <c r="G48" s="91"/>
      <c r="H48" s="91"/>
      <c r="I48" s="91"/>
      <c r="J48" s="91"/>
    </row>
    <row r="49" spans="1:10" ht="38.25" customHeight="1">
      <c r="A49" s="104" t="s">
        <v>123</v>
      </c>
      <c r="B49" s="106">
        <v>3320</v>
      </c>
      <c r="C49" s="91"/>
      <c r="D49" s="91"/>
      <c r="E49" s="91"/>
      <c r="F49" s="91"/>
      <c r="G49" s="91"/>
      <c r="H49" s="91"/>
      <c r="I49" s="91"/>
      <c r="J49" s="91"/>
    </row>
    <row r="50" spans="1:10" ht="26.25" customHeight="1">
      <c r="A50" s="406" t="s">
        <v>124</v>
      </c>
      <c r="B50" s="406"/>
      <c r="C50" s="406"/>
      <c r="D50" s="406"/>
      <c r="E50" s="406"/>
      <c r="F50" s="406"/>
      <c r="G50" s="406"/>
      <c r="H50" s="406"/>
      <c r="I50" s="406"/>
      <c r="J50" s="406"/>
    </row>
    <row r="51" spans="1:10" ht="20.100000000000001" customHeight="1">
      <c r="A51" s="104" t="s">
        <v>187</v>
      </c>
      <c r="B51" s="106"/>
      <c r="C51" s="57"/>
      <c r="D51" s="57"/>
      <c r="E51" s="57"/>
      <c r="F51" s="57"/>
      <c r="G51" s="57"/>
      <c r="H51" s="57"/>
      <c r="I51" s="57"/>
      <c r="J51" s="57"/>
    </row>
    <row r="52" spans="1:10" ht="20.25" customHeight="1">
      <c r="A52" s="105" t="s">
        <v>129</v>
      </c>
      <c r="B52" s="106">
        <v>3400</v>
      </c>
      <c r="C52" s="90"/>
      <c r="D52" s="90"/>
      <c r="E52" s="291"/>
      <c r="F52" s="291"/>
      <c r="G52" s="291"/>
      <c r="H52" s="291"/>
      <c r="I52" s="291"/>
      <c r="J52" s="291"/>
    </row>
    <row r="53" spans="1:10" ht="47.25" customHeight="1">
      <c r="A53" s="65" t="s">
        <v>73</v>
      </c>
      <c r="B53" s="111"/>
      <c r="C53" s="57"/>
      <c r="D53" s="57"/>
      <c r="E53" s="57"/>
      <c r="F53" s="57"/>
      <c r="G53" s="57"/>
      <c r="H53" s="57"/>
      <c r="I53" s="57"/>
      <c r="J53" s="57"/>
    </row>
    <row r="54" spans="1:10" ht="20.100000000000001" customHeight="1">
      <c r="A54" s="65" t="s">
        <v>72</v>
      </c>
      <c r="B54" s="106">
        <v>3410</v>
      </c>
      <c r="C54" s="90"/>
      <c r="D54" s="90"/>
      <c r="E54" s="90"/>
      <c r="F54" s="90"/>
      <c r="G54" s="90"/>
      <c r="H54" s="90"/>
      <c r="I54" s="90"/>
      <c r="J54" s="90"/>
    </row>
    <row r="55" spans="1:10" ht="20.100000000000001" customHeight="1">
      <c r="A55" s="65" t="s">
        <v>77</v>
      </c>
      <c r="B55" s="108">
        <v>3420</v>
      </c>
      <c r="C55" s="90"/>
      <c r="D55" s="90"/>
      <c r="E55" s="90"/>
      <c r="F55" s="90"/>
      <c r="G55" s="90"/>
      <c r="H55" s="90"/>
      <c r="I55" s="90"/>
      <c r="J55" s="90"/>
    </row>
    <row r="56" spans="1:10" ht="20.100000000000001" customHeight="1">
      <c r="A56" s="65" t="s">
        <v>100</v>
      </c>
      <c r="B56" s="106">
        <v>3430</v>
      </c>
      <c r="C56" s="90"/>
      <c r="D56" s="90"/>
      <c r="E56" s="90"/>
      <c r="F56" s="90"/>
      <c r="G56" s="90"/>
      <c r="H56" s="90"/>
      <c r="I56" s="90"/>
      <c r="J56" s="90"/>
    </row>
    <row r="57" spans="1:10" ht="48.75" customHeight="1">
      <c r="A57" s="65" t="s">
        <v>75</v>
      </c>
      <c r="B57" s="106"/>
      <c r="C57" s="57"/>
      <c r="D57" s="57"/>
      <c r="E57" s="57"/>
      <c r="F57" s="57"/>
      <c r="G57" s="57"/>
      <c r="H57" s="57"/>
      <c r="I57" s="57"/>
      <c r="J57" s="57"/>
    </row>
    <row r="58" spans="1:10" ht="20.100000000000001" customHeight="1">
      <c r="A58" s="65" t="s">
        <v>72</v>
      </c>
      <c r="B58" s="108">
        <v>3440</v>
      </c>
      <c r="C58" s="90"/>
      <c r="D58" s="90"/>
      <c r="E58" s="90"/>
      <c r="F58" s="90"/>
      <c r="G58" s="90"/>
      <c r="H58" s="90"/>
      <c r="I58" s="90"/>
      <c r="J58" s="90"/>
    </row>
    <row r="59" spans="1:10" ht="20.100000000000001" customHeight="1">
      <c r="A59" s="65" t="s">
        <v>77</v>
      </c>
      <c r="B59" s="108">
        <v>3450</v>
      </c>
      <c r="C59" s="90"/>
      <c r="D59" s="90"/>
      <c r="E59" s="90"/>
      <c r="F59" s="90"/>
      <c r="G59" s="90"/>
      <c r="H59" s="90"/>
      <c r="I59" s="90"/>
      <c r="J59" s="90"/>
    </row>
    <row r="60" spans="1:10" ht="20.100000000000001" customHeight="1">
      <c r="A60" s="65" t="s">
        <v>100</v>
      </c>
      <c r="B60" s="108">
        <v>3460</v>
      </c>
      <c r="C60" s="90"/>
      <c r="D60" s="90"/>
      <c r="E60" s="90"/>
      <c r="F60" s="90"/>
      <c r="G60" s="90"/>
      <c r="H60" s="90"/>
      <c r="I60" s="90"/>
      <c r="J60" s="90"/>
    </row>
    <row r="61" spans="1:10" ht="30" customHeight="1">
      <c r="A61" s="65" t="s">
        <v>95</v>
      </c>
      <c r="B61" s="108">
        <v>3470</v>
      </c>
      <c r="C61" s="90"/>
      <c r="D61" s="90"/>
      <c r="E61" s="90"/>
      <c r="F61" s="90">
        <f>G61+H61+I61+J61</f>
        <v>0</v>
      </c>
      <c r="G61" s="90">
        <f>G38</f>
        <v>0</v>
      </c>
      <c r="H61" s="90">
        <f>H38</f>
        <v>0</v>
      </c>
      <c r="I61" s="90">
        <f>I38</f>
        <v>0</v>
      </c>
      <c r="J61" s="90">
        <f>J38</f>
        <v>0</v>
      </c>
    </row>
    <row r="62" spans="1:10" ht="37.5" customHeight="1">
      <c r="A62" s="65" t="s">
        <v>96</v>
      </c>
      <c r="B62" s="108">
        <v>3480</v>
      </c>
      <c r="C62" s="90"/>
      <c r="D62" s="90"/>
      <c r="E62" s="90"/>
      <c r="F62" s="90"/>
      <c r="G62" s="90"/>
      <c r="H62" s="90"/>
      <c r="I62" s="90"/>
      <c r="J62" s="90"/>
    </row>
    <row r="63" spans="1:10" ht="20.100000000000001" customHeight="1">
      <c r="A63" s="104" t="s">
        <v>188</v>
      </c>
      <c r="B63" s="106"/>
      <c r="C63" s="57"/>
      <c r="D63" s="57"/>
      <c r="E63" s="57"/>
      <c r="F63" s="57"/>
      <c r="G63" s="57"/>
      <c r="H63" s="57"/>
      <c r="I63" s="57"/>
      <c r="J63" s="57"/>
    </row>
    <row r="64" spans="1:10" ht="51.75" customHeight="1">
      <c r="A64" s="65" t="s">
        <v>199</v>
      </c>
      <c r="B64" s="106">
        <v>3490</v>
      </c>
      <c r="C64" s="90"/>
      <c r="D64" s="90"/>
      <c r="E64" s="90"/>
      <c r="F64" s="90"/>
      <c r="G64" s="90"/>
      <c r="H64" s="90"/>
      <c r="I64" s="90"/>
      <c r="J64" s="90"/>
    </row>
    <row r="65" spans="1:10" ht="33" customHeight="1">
      <c r="A65" s="65" t="s">
        <v>200</v>
      </c>
      <c r="B65" s="106">
        <v>3500</v>
      </c>
      <c r="C65" s="90"/>
      <c r="D65" s="90"/>
      <c r="E65" s="90"/>
      <c r="F65" s="90"/>
      <c r="G65" s="90"/>
      <c r="H65" s="90"/>
      <c r="I65" s="90"/>
      <c r="J65" s="90"/>
    </row>
    <row r="66" spans="1:10" ht="45" customHeight="1">
      <c r="A66" s="65" t="s">
        <v>76</v>
      </c>
      <c r="B66" s="106"/>
      <c r="C66" s="57"/>
      <c r="D66" s="57"/>
      <c r="E66" s="57"/>
      <c r="F66" s="57"/>
      <c r="G66" s="57"/>
      <c r="H66" s="57"/>
      <c r="I66" s="57"/>
      <c r="J66" s="57"/>
    </row>
    <row r="67" spans="1:10" ht="20.100000000000001" customHeight="1">
      <c r="A67" s="65" t="s">
        <v>72</v>
      </c>
      <c r="B67" s="108">
        <v>3510</v>
      </c>
      <c r="C67" s="90"/>
      <c r="D67" s="90"/>
      <c r="E67" s="90"/>
      <c r="F67" s="90"/>
      <c r="G67" s="90"/>
      <c r="H67" s="90"/>
      <c r="I67" s="90"/>
      <c r="J67" s="90"/>
    </row>
    <row r="68" spans="1:10" ht="20.100000000000001" customHeight="1">
      <c r="A68" s="65" t="s">
        <v>77</v>
      </c>
      <c r="B68" s="108">
        <v>3520</v>
      </c>
      <c r="C68" s="90"/>
      <c r="D68" s="90"/>
      <c r="E68" s="90"/>
      <c r="F68" s="90"/>
      <c r="G68" s="90"/>
      <c r="H68" s="90"/>
      <c r="I68" s="90"/>
      <c r="J68" s="90"/>
    </row>
    <row r="69" spans="1:10" ht="20.100000000000001" customHeight="1">
      <c r="A69" s="65" t="s">
        <v>100</v>
      </c>
      <c r="B69" s="108">
        <v>3530</v>
      </c>
      <c r="C69" s="90"/>
      <c r="D69" s="90"/>
      <c r="E69" s="90"/>
      <c r="F69" s="90"/>
      <c r="G69" s="90"/>
      <c r="H69" s="90"/>
      <c r="I69" s="90"/>
      <c r="J69" s="90"/>
    </row>
    <row r="70" spans="1:10" ht="51.75" customHeight="1">
      <c r="A70" s="65" t="s">
        <v>74</v>
      </c>
      <c r="B70" s="106"/>
      <c r="C70" s="57"/>
      <c r="D70" s="57"/>
      <c r="E70" s="57"/>
      <c r="F70" s="57"/>
      <c r="G70" s="57"/>
      <c r="H70" s="57"/>
      <c r="I70" s="57"/>
      <c r="J70" s="57"/>
    </row>
    <row r="71" spans="1:10" ht="20.100000000000001" customHeight="1">
      <c r="A71" s="65" t="s">
        <v>72</v>
      </c>
      <c r="B71" s="108">
        <v>3540</v>
      </c>
      <c r="C71" s="90"/>
      <c r="D71" s="90"/>
      <c r="E71" s="90"/>
      <c r="F71" s="90"/>
      <c r="G71" s="90"/>
      <c r="H71" s="90"/>
      <c r="I71" s="90"/>
      <c r="J71" s="90"/>
    </row>
    <row r="72" spans="1:10" ht="20.100000000000001" customHeight="1">
      <c r="A72" s="65" t="s">
        <v>77</v>
      </c>
      <c r="B72" s="108">
        <v>3550</v>
      </c>
      <c r="C72" s="90"/>
      <c r="D72" s="90"/>
      <c r="E72" s="90"/>
      <c r="F72" s="90"/>
      <c r="G72" s="90"/>
      <c r="H72" s="90"/>
      <c r="I72" s="90"/>
      <c r="J72" s="90"/>
    </row>
    <row r="73" spans="1:10" ht="19.5" customHeight="1">
      <c r="A73" s="65" t="s">
        <v>100</v>
      </c>
      <c r="B73" s="108">
        <v>3560</v>
      </c>
      <c r="C73" s="90"/>
      <c r="D73" s="90"/>
      <c r="E73" s="90"/>
      <c r="F73" s="90"/>
      <c r="G73" s="90"/>
      <c r="H73" s="90"/>
      <c r="I73" s="90"/>
      <c r="J73" s="90"/>
    </row>
    <row r="74" spans="1:10" ht="20.100000000000001" customHeight="1">
      <c r="A74" s="65" t="s">
        <v>90</v>
      </c>
      <c r="B74" s="108">
        <v>3570</v>
      </c>
      <c r="C74" s="90"/>
      <c r="D74" s="90"/>
      <c r="E74" s="90"/>
      <c r="F74" s="90">
        <f>G74+H74+I74+J74</f>
        <v>0</v>
      </c>
      <c r="G74" s="90">
        <f>G61</f>
        <v>0</v>
      </c>
      <c r="H74" s="90">
        <f>H61</f>
        <v>0</v>
      </c>
      <c r="I74" s="90">
        <f>I61</f>
        <v>0</v>
      </c>
      <c r="J74" s="90">
        <f>J61</f>
        <v>0</v>
      </c>
    </row>
    <row r="75" spans="1:10" ht="36" customHeight="1">
      <c r="A75" s="104" t="s">
        <v>125</v>
      </c>
      <c r="B75" s="108">
        <v>3580</v>
      </c>
      <c r="C75" s="90"/>
      <c r="D75" s="90"/>
      <c r="E75" s="90"/>
      <c r="F75" s="90"/>
      <c r="G75" s="90"/>
      <c r="H75" s="90"/>
      <c r="I75" s="90"/>
      <c r="J75" s="90"/>
    </row>
    <row r="76" spans="1:10" s="14" customFormat="1" ht="20.100000000000001" customHeight="1">
      <c r="A76" s="65" t="s">
        <v>16</v>
      </c>
      <c r="B76" s="108"/>
      <c r="C76" s="90">
        <f t="shared" ref="C76:J76" si="3">C77+C79</f>
        <v>585</v>
      </c>
      <c r="D76" s="90">
        <f t="shared" si="3"/>
        <v>152.79000000000153</v>
      </c>
      <c r="E76" s="90">
        <f>E77+E79</f>
        <v>923.50069187272231</v>
      </c>
      <c r="F76" s="90">
        <f>F77+F79</f>
        <v>973.95138374544467</v>
      </c>
      <c r="G76" s="90">
        <f>G77+G79</f>
        <v>957.60138374544454</v>
      </c>
      <c r="H76" s="90">
        <f t="shared" si="3"/>
        <v>969.30138374544492</v>
      </c>
      <c r="I76" s="90">
        <f t="shared" si="3"/>
        <v>979.75138374544542</v>
      </c>
      <c r="J76" s="90">
        <f t="shared" si="3"/>
        <v>991.00138374544508</v>
      </c>
    </row>
    <row r="77" spans="1:10" s="77" customFormat="1" ht="20.100000000000001" customHeight="1">
      <c r="A77" s="112" t="s">
        <v>17</v>
      </c>
      <c r="B77" s="113">
        <v>3600</v>
      </c>
      <c r="C77" s="114">
        <v>137</v>
      </c>
      <c r="D77" s="114">
        <v>60</v>
      </c>
      <c r="E77" s="114">
        <f>C79</f>
        <v>448</v>
      </c>
      <c r="F77" s="114">
        <f>E79</f>
        <v>475.50069187272231</v>
      </c>
      <c r="G77" s="114">
        <f>E79</f>
        <v>475.50069187272231</v>
      </c>
      <c r="H77" s="114">
        <f>G79</f>
        <v>482.10069187272222</v>
      </c>
      <c r="I77" s="114">
        <f>H79</f>
        <v>487.2006918727227</v>
      </c>
      <c r="J77" s="114">
        <f>I79</f>
        <v>492.55069187272272</v>
      </c>
    </row>
    <row r="78" spans="1:10" s="14" customFormat="1" ht="38.25" customHeight="1">
      <c r="A78" s="115" t="s">
        <v>130</v>
      </c>
      <c r="B78" s="108">
        <v>3610</v>
      </c>
      <c r="C78" s="116"/>
      <c r="D78" s="116"/>
      <c r="E78" s="116"/>
      <c r="F78" s="116"/>
      <c r="G78" s="116"/>
      <c r="H78" s="116"/>
      <c r="I78" s="116"/>
      <c r="J78" s="116"/>
    </row>
    <row r="79" spans="1:10" s="77" customFormat="1" ht="20.100000000000001" customHeight="1">
      <c r="A79" s="112" t="s">
        <v>38</v>
      </c>
      <c r="B79" s="113">
        <v>3620</v>
      </c>
      <c r="C79" s="114">
        <v>448</v>
      </c>
      <c r="D79" s="114">
        <f t="shared" ref="D79:J79" si="4">D80+D77+D78</f>
        <v>92.790000000001527</v>
      </c>
      <c r="E79" s="114">
        <f t="shared" si="4"/>
        <v>475.50069187272231</v>
      </c>
      <c r="F79" s="114">
        <f t="shared" si="4"/>
        <v>498.4506918727223</v>
      </c>
      <c r="G79" s="114">
        <f t="shared" si="4"/>
        <v>482.10069187272222</v>
      </c>
      <c r="H79" s="114">
        <f t="shared" si="4"/>
        <v>487.2006918727227</v>
      </c>
      <c r="I79" s="114">
        <f t="shared" si="4"/>
        <v>492.55069187272272</v>
      </c>
      <c r="J79" s="114">
        <f t="shared" si="4"/>
        <v>498.45069187272236</v>
      </c>
    </row>
    <row r="80" spans="1:10" s="14" customFormat="1" ht="24" customHeight="1">
      <c r="A80" s="109" t="s">
        <v>18</v>
      </c>
      <c r="B80" s="117">
        <v>3630</v>
      </c>
      <c r="C80" s="118">
        <f>'1.Фінансовий результат'!C104</f>
        <v>35.099999999999284</v>
      </c>
      <c r="D80" s="118">
        <f>'1.Фінансовий результат'!D104</f>
        <v>32.790000000001527</v>
      </c>
      <c r="E80" s="118">
        <f>'1.Фінансовий результат'!E104</f>
        <v>27.5006918727223</v>
      </c>
      <c r="F80" s="118">
        <f>'1.Фінансовий результат'!F104</f>
        <v>22.949999999999989</v>
      </c>
      <c r="G80" s="118">
        <f>'1.Фінансовий результат'!G104</f>
        <v>6.5999999999999179</v>
      </c>
      <c r="H80" s="118">
        <f>'1.Фінансовий результат'!H104</f>
        <v>5.1000000000004526</v>
      </c>
      <c r="I80" s="118">
        <f>'1.Фінансовий результат'!I104</f>
        <v>5.3500000000000361</v>
      </c>
      <c r="J80" s="118">
        <f>'1.Фінансовий результат'!J104</f>
        <v>5.8999999999996104</v>
      </c>
    </row>
    <row r="81" spans="1:12" s="14" customFormat="1" ht="20.100000000000001" customHeight="1">
      <c r="A81" s="16"/>
      <c r="B81" s="119"/>
      <c r="C81" s="120"/>
      <c r="D81" s="120"/>
      <c r="E81" s="120"/>
      <c r="F81" s="121"/>
      <c r="G81" s="122"/>
      <c r="H81" s="122"/>
      <c r="I81" s="122"/>
      <c r="J81" s="122"/>
    </row>
    <row r="82" spans="1:12" s="14" customFormat="1" ht="20.100000000000001" customHeight="1">
      <c r="A82" s="16"/>
      <c r="B82" s="119"/>
      <c r="C82" s="120"/>
      <c r="D82" s="120"/>
      <c r="E82" s="120"/>
      <c r="F82" s="121"/>
      <c r="G82" s="122"/>
      <c r="H82" s="122"/>
      <c r="I82" s="122"/>
      <c r="J82" s="122"/>
      <c r="L82" s="14">
        <v>0</v>
      </c>
    </row>
    <row r="83" spans="1:12" s="3" customFormat="1" ht="20.100000000000001" customHeight="1">
      <c r="A83" s="347" t="s">
        <v>265</v>
      </c>
      <c r="B83" s="123"/>
      <c r="C83" s="407" t="s">
        <v>85</v>
      </c>
      <c r="D83" s="407"/>
      <c r="E83" s="407"/>
      <c r="F83" s="408"/>
      <c r="G83" s="124"/>
      <c r="H83" s="409" t="s">
        <v>316</v>
      </c>
      <c r="I83" s="409"/>
      <c r="J83" s="409"/>
    </row>
    <row r="84" spans="1:12" ht="20.100000000000001" customHeight="1">
      <c r="A84" s="340" t="s">
        <v>415</v>
      </c>
      <c r="B84" s="125"/>
      <c r="C84" s="363" t="s">
        <v>62</v>
      </c>
      <c r="D84" s="363"/>
      <c r="E84" s="363"/>
      <c r="F84" s="363"/>
      <c r="G84" s="127"/>
      <c r="H84" s="382" t="s">
        <v>81</v>
      </c>
      <c r="I84" s="382"/>
      <c r="J84" s="382"/>
    </row>
    <row r="85" spans="1:12">
      <c r="C85" s="4"/>
      <c r="D85" s="4"/>
      <c r="E85" s="4"/>
    </row>
    <row r="86" spans="1:12">
      <c r="C86" s="4"/>
      <c r="D86" s="4"/>
      <c r="E86" s="4"/>
    </row>
    <row r="87" spans="1:12">
      <c r="C87" s="4"/>
      <c r="D87" s="4"/>
      <c r="E87" s="4"/>
    </row>
    <row r="88" spans="1:12">
      <c r="C88" s="4"/>
      <c r="D88" s="4"/>
      <c r="E88" s="4"/>
    </row>
    <row r="89" spans="1:12">
      <c r="C89" s="4"/>
      <c r="D89" s="4"/>
      <c r="E89" s="4"/>
    </row>
    <row r="90" spans="1:12">
      <c r="C90" s="4"/>
      <c r="D90" s="4"/>
      <c r="E90" s="4"/>
    </row>
    <row r="91" spans="1:12">
      <c r="C91" s="4"/>
      <c r="D91" s="4"/>
      <c r="E91" s="4"/>
    </row>
    <row r="92" spans="1:12">
      <c r="C92" s="4"/>
      <c r="D92" s="4"/>
      <c r="E92" s="4"/>
    </row>
    <row r="93" spans="1:12">
      <c r="C93" s="4"/>
      <c r="D93" s="4"/>
      <c r="E93" s="4"/>
    </row>
    <row r="94" spans="1:12">
      <c r="C94" s="4"/>
      <c r="D94" s="4"/>
      <c r="E94" s="4"/>
    </row>
    <row r="95" spans="1:12">
      <c r="C95" s="4"/>
      <c r="D95" s="4"/>
      <c r="E95" s="4"/>
    </row>
    <row r="96" spans="1:12">
      <c r="C96" s="4"/>
      <c r="D96" s="4"/>
      <c r="E96" s="4"/>
    </row>
    <row r="97" spans="3:5">
      <c r="C97" s="4"/>
      <c r="D97" s="4"/>
      <c r="E97" s="4"/>
    </row>
    <row r="98" spans="3:5">
      <c r="C98" s="4"/>
      <c r="D98" s="4"/>
      <c r="E98" s="4"/>
    </row>
    <row r="99" spans="3:5">
      <c r="C99" s="4"/>
      <c r="D99" s="4"/>
      <c r="E99" s="4"/>
    </row>
    <row r="100" spans="3:5">
      <c r="C100" s="4"/>
      <c r="D100" s="4"/>
      <c r="E100" s="4"/>
    </row>
    <row r="101" spans="3:5">
      <c r="C101" s="4"/>
      <c r="D101" s="4"/>
      <c r="E101" s="4"/>
    </row>
    <row r="102" spans="3:5">
      <c r="C102" s="4"/>
      <c r="D102" s="4"/>
      <c r="E102" s="4"/>
    </row>
    <row r="103" spans="3:5">
      <c r="C103" s="4"/>
      <c r="D103" s="4"/>
      <c r="E103" s="4"/>
    </row>
    <row r="104" spans="3:5">
      <c r="C104" s="4"/>
      <c r="D104" s="4"/>
      <c r="E104" s="4"/>
    </row>
    <row r="105" spans="3:5">
      <c r="C105" s="4"/>
      <c r="D105" s="4"/>
      <c r="E105" s="4"/>
    </row>
    <row r="106" spans="3:5">
      <c r="C106" s="4"/>
      <c r="D106" s="4"/>
      <c r="E106" s="4"/>
    </row>
    <row r="107" spans="3:5">
      <c r="C107" s="4"/>
      <c r="D107" s="4"/>
      <c r="E107" s="4"/>
    </row>
    <row r="108" spans="3:5">
      <c r="C108" s="4"/>
      <c r="D108" s="4"/>
      <c r="E108" s="4"/>
    </row>
    <row r="109" spans="3:5">
      <c r="C109" s="4"/>
      <c r="D109" s="4"/>
      <c r="E109" s="4"/>
    </row>
    <row r="110" spans="3:5">
      <c r="C110" s="4"/>
      <c r="D110" s="4"/>
      <c r="E110" s="4"/>
    </row>
    <row r="111" spans="3:5">
      <c r="C111" s="4"/>
      <c r="D111" s="4"/>
      <c r="E111" s="4"/>
    </row>
    <row r="112" spans="3:5">
      <c r="C112" s="4"/>
      <c r="D112" s="4"/>
      <c r="E112" s="4"/>
    </row>
    <row r="113" spans="3:5">
      <c r="C113" s="4"/>
      <c r="D113" s="4"/>
      <c r="E113" s="4"/>
    </row>
    <row r="114" spans="3:5">
      <c r="C114" s="4"/>
      <c r="D114" s="4"/>
      <c r="E114" s="4"/>
    </row>
    <row r="115" spans="3:5">
      <c r="C115" s="4"/>
      <c r="D115" s="4"/>
      <c r="E115" s="4"/>
    </row>
  </sheetData>
  <mergeCells count="15">
    <mergeCell ref="A2:J2"/>
    <mergeCell ref="A4:A5"/>
    <mergeCell ref="B4:B5"/>
    <mergeCell ref="C4:C5"/>
    <mergeCell ref="F4:F5"/>
    <mergeCell ref="G4:J4"/>
    <mergeCell ref="D4:D5"/>
    <mergeCell ref="E4:E5"/>
    <mergeCell ref="C84:F84"/>
    <mergeCell ref="H84:J84"/>
    <mergeCell ref="A29:J29"/>
    <mergeCell ref="A7:J7"/>
    <mergeCell ref="A50:J50"/>
    <mergeCell ref="C83:F83"/>
    <mergeCell ref="H83:J83"/>
  </mergeCells>
  <phoneticPr fontId="3" type="noConversion"/>
  <printOptions horizontalCentered="1"/>
  <pageMargins left="0.70866141732283472" right="0.19685039370078741" top="0.39" bottom="0.39" header="0.19685039370078741" footer="0.23622047244094491"/>
  <pageSetup paperSize="9" scale="63" fitToHeight="0" orientation="portrait" r:id="rId1"/>
  <headerFooter alignWithMargins="0">
    <oddHeader>&amp;C&amp;"Times New Roman,обычный"&amp;14 9&amp;R&amp;"Times New Roman,обычный"&amp;14Продовження додатка 1</oddHeader>
  </headerFooter>
  <rowBreaks count="1" manualBreakCount="1">
    <brk id="49" max="9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3:Q195"/>
  <sheetViews>
    <sheetView view="pageBreakPreview" topLeftCell="A19" zoomScale="73" zoomScaleNormal="57" zoomScaleSheetLayoutView="73" workbookViewId="0">
      <selection activeCell="B15" sqref="B15"/>
    </sheetView>
  </sheetViews>
  <sheetFormatPr defaultRowHeight="18.75" outlineLevelRow="1"/>
  <cols>
    <col min="1" max="1" width="54.7109375" style="3" customWidth="1"/>
    <col min="2" max="2" width="10.42578125" style="21" customWidth="1"/>
    <col min="3" max="3" width="13.140625" style="21" customWidth="1"/>
    <col min="4" max="4" width="15.7109375" style="21" customWidth="1"/>
    <col min="5" max="5" width="11.85546875" style="21" customWidth="1"/>
    <col min="6" max="6" width="12.5703125" style="3" customWidth="1"/>
    <col min="7" max="10" width="10.5703125" style="3" customWidth="1"/>
    <col min="11" max="11" width="9.5703125" style="3" customWidth="1"/>
    <col min="12" max="12" width="9.85546875" style="3" customWidth="1"/>
    <col min="13" max="16384" width="9.140625" style="3"/>
  </cols>
  <sheetData>
    <row r="3" spans="1:17">
      <c r="A3" s="362" t="s">
        <v>162</v>
      </c>
      <c r="B3" s="362"/>
      <c r="C3" s="362"/>
      <c r="D3" s="362"/>
      <c r="E3" s="362"/>
      <c r="F3" s="362"/>
      <c r="G3" s="362"/>
      <c r="H3" s="362"/>
      <c r="I3" s="362"/>
      <c r="J3" s="362"/>
    </row>
    <row r="4" spans="1:17">
      <c r="A4" s="419"/>
      <c r="B4" s="419"/>
      <c r="C4" s="419"/>
      <c r="D4" s="419"/>
      <c r="E4" s="419"/>
      <c r="F4" s="419"/>
      <c r="G4" s="419"/>
      <c r="H4" s="419"/>
      <c r="I4" s="419"/>
      <c r="J4" s="419"/>
    </row>
    <row r="5" spans="1:17" ht="31.5" customHeight="1">
      <c r="A5" s="399" t="s">
        <v>182</v>
      </c>
      <c r="B5" s="403" t="s">
        <v>5</v>
      </c>
      <c r="C5" s="417" t="s">
        <v>399</v>
      </c>
      <c r="D5" s="417" t="s">
        <v>400</v>
      </c>
      <c r="E5" s="403" t="s">
        <v>359</v>
      </c>
      <c r="F5" s="403" t="s">
        <v>107</v>
      </c>
      <c r="G5" s="404" t="s">
        <v>264</v>
      </c>
      <c r="H5" s="404"/>
      <c r="I5" s="404"/>
      <c r="J5" s="404"/>
    </row>
    <row r="6" spans="1:17" ht="42" customHeight="1">
      <c r="A6" s="399"/>
      <c r="B6" s="403"/>
      <c r="C6" s="418"/>
      <c r="D6" s="420"/>
      <c r="E6" s="403" t="s">
        <v>355</v>
      </c>
      <c r="F6" s="403"/>
      <c r="G6" s="13" t="s">
        <v>144</v>
      </c>
      <c r="H6" s="13" t="s">
        <v>145</v>
      </c>
      <c r="I6" s="13" t="s">
        <v>146</v>
      </c>
      <c r="J6" s="13" t="s">
        <v>55</v>
      </c>
    </row>
    <row r="7" spans="1:17" ht="18" customHeight="1">
      <c r="A7" s="6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</row>
    <row r="8" spans="1:17" s="5" customFormat="1" ht="42.75" customHeight="1">
      <c r="A8" s="72" t="s">
        <v>64</v>
      </c>
      <c r="B8" s="78">
        <v>4000</v>
      </c>
      <c r="C8" s="83">
        <f>C9+C10+C22+C23+C21</f>
        <v>0</v>
      </c>
      <c r="D8" s="83">
        <f>D10+D23+D9+D21</f>
        <v>4705</v>
      </c>
      <c r="E8" s="83">
        <f>E10+E9</f>
        <v>4218.8999999999996</v>
      </c>
      <c r="F8" s="83">
        <f>G8+H8+I8+J8</f>
        <v>6464.6367199999995</v>
      </c>
      <c r="G8" s="83">
        <f>G9+G10+G21+G22+G23</f>
        <v>205.53672</v>
      </c>
      <c r="H8" s="83">
        <f>H9+H10+H21+H22+H23</f>
        <v>3239.7</v>
      </c>
      <c r="I8" s="83">
        <f>I9+I10+I21+I22+I23</f>
        <v>2759.7</v>
      </c>
      <c r="J8" s="83">
        <f>J9+J10+J21+J22+J23</f>
        <v>259.7</v>
      </c>
    </row>
    <row r="9" spans="1:17" ht="32.25" customHeight="1">
      <c r="A9" s="201" t="s">
        <v>312</v>
      </c>
      <c r="B9" s="52" t="s">
        <v>168</v>
      </c>
      <c r="C9" s="157">
        <v>0</v>
      </c>
      <c r="D9" s="157">
        <v>0</v>
      </c>
      <c r="E9" s="157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</row>
    <row r="10" spans="1:17" ht="37.5" customHeight="1">
      <c r="A10" s="203" t="s">
        <v>350</v>
      </c>
      <c r="B10" s="51">
        <v>4020</v>
      </c>
      <c r="C10" s="157">
        <v>0</v>
      </c>
      <c r="D10" s="157">
        <f>SUM(D11:D19)</f>
        <v>4705</v>
      </c>
      <c r="E10" s="157">
        <f>SUM(E11:E19)</f>
        <v>4218.8999999999996</v>
      </c>
      <c r="F10" s="79">
        <f>G10+H10+I10+J10</f>
        <v>5486.0367200000001</v>
      </c>
      <c r="G10" s="79">
        <f>G11+G12+G13+G15+G14+G17+G18+G19</f>
        <v>205.53672</v>
      </c>
      <c r="H10" s="79">
        <f>H11+H12+H13+H15+H14+H17+H18+H19</f>
        <v>2780.5</v>
      </c>
      <c r="I10" s="79">
        <f>I11+I12+I13+I14+I17+I18+I19</f>
        <v>2500</v>
      </c>
      <c r="J10" s="79">
        <f>J11+J12+J13+J15+J14+J17+J18+J19</f>
        <v>0</v>
      </c>
      <c r="Q10" s="18"/>
    </row>
    <row r="11" spans="1:17" ht="17.25" customHeight="1">
      <c r="A11" s="282" t="s">
        <v>391</v>
      </c>
      <c r="B11" s="52" t="s">
        <v>314</v>
      </c>
      <c r="C11" s="157"/>
      <c r="D11" s="157"/>
      <c r="E11" s="86">
        <v>1746</v>
      </c>
      <c r="F11" s="159"/>
      <c r="G11" s="10"/>
      <c r="H11" s="10"/>
      <c r="I11" s="10"/>
      <c r="J11" s="10"/>
      <c r="L11" s="3">
        <v>1746</v>
      </c>
      <c r="Q11" s="18"/>
    </row>
    <row r="12" spans="1:17" ht="33.75" customHeight="1">
      <c r="A12" s="282" t="s">
        <v>405</v>
      </c>
      <c r="B12" s="52" t="s">
        <v>354</v>
      </c>
      <c r="C12" s="86"/>
      <c r="D12" s="86">
        <v>460</v>
      </c>
      <c r="E12" s="86">
        <v>474.9</v>
      </c>
      <c r="F12" s="159">
        <f>G12+H12+I12+J12</f>
        <v>0</v>
      </c>
      <c r="G12" s="10">
        <v>0</v>
      </c>
      <c r="H12" s="10">
        <v>0</v>
      </c>
      <c r="I12" s="10">
        <v>0</v>
      </c>
      <c r="J12" s="10">
        <v>0</v>
      </c>
      <c r="L12" s="3">
        <v>474.9</v>
      </c>
      <c r="Q12" s="18"/>
    </row>
    <row r="13" spans="1:17" s="308" customFormat="1" ht="33.75" customHeight="1">
      <c r="A13" s="282" t="s">
        <v>404</v>
      </c>
      <c r="B13" s="52" t="s">
        <v>365</v>
      </c>
      <c r="C13" s="86"/>
      <c r="D13" s="86"/>
      <c r="E13" s="86"/>
      <c r="F13" s="159">
        <f>G13+H13+I13+J13</f>
        <v>205.53672</v>
      </c>
      <c r="G13" s="309">
        <v>205.53672</v>
      </c>
      <c r="H13" s="309"/>
      <c r="I13" s="309"/>
      <c r="J13" s="309"/>
      <c r="Q13" s="18"/>
    </row>
    <row r="14" spans="1:17" s="272" customFormat="1" ht="19.5" customHeight="1">
      <c r="A14" s="283" t="s">
        <v>392</v>
      </c>
      <c r="B14" s="52" t="s">
        <v>366</v>
      </c>
      <c r="C14" s="86"/>
      <c r="D14" s="86">
        <v>1650</v>
      </c>
      <c r="E14" s="271">
        <v>1998</v>
      </c>
      <c r="F14" s="159"/>
      <c r="G14" s="10"/>
      <c r="H14" s="10"/>
      <c r="I14" s="10"/>
      <c r="J14" s="10"/>
      <c r="Q14" s="18"/>
    </row>
    <row r="15" spans="1:17" ht="60.75" customHeight="1" outlineLevel="1">
      <c r="A15" s="329" t="s">
        <v>389</v>
      </c>
      <c r="B15" s="52" t="s">
        <v>384</v>
      </c>
      <c r="C15" s="238"/>
      <c r="D15" s="86">
        <v>945</v>
      </c>
      <c r="E15" s="86">
        <v>0</v>
      </c>
      <c r="F15" s="159">
        <f>G15+H15+I15+J15</f>
        <v>0</v>
      </c>
      <c r="G15" s="328">
        <v>0</v>
      </c>
      <c r="H15" s="328">
        <v>0</v>
      </c>
      <c r="I15" s="328"/>
      <c r="J15" s="328">
        <v>0</v>
      </c>
      <c r="Q15" s="18"/>
    </row>
    <row r="16" spans="1:17" s="327" customFormat="1" ht="33" customHeight="1" outlineLevel="1">
      <c r="A16" s="329" t="s">
        <v>410</v>
      </c>
      <c r="B16" s="52" t="s">
        <v>385</v>
      </c>
      <c r="C16" s="238"/>
      <c r="D16" s="86">
        <v>1650</v>
      </c>
      <c r="E16" s="86"/>
      <c r="F16" s="159"/>
      <c r="G16" s="328"/>
      <c r="H16" s="328"/>
      <c r="I16" s="328"/>
      <c r="J16" s="328"/>
      <c r="Q16" s="18"/>
    </row>
    <row r="17" spans="1:17" s="257" customFormat="1" ht="22.5" customHeight="1">
      <c r="A17" s="137" t="s">
        <v>383</v>
      </c>
      <c r="B17" s="52" t="s">
        <v>387</v>
      </c>
      <c r="C17" s="238"/>
      <c r="D17" s="238"/>
      <c r="E17" s="238"/>
      <c r="F17" s="159">
        <f>G17+H17+I17+J17</f>
        <v>1890</v>
      </c>
      <c r="G17" s="309"/>
      <c r="H17" s="309">
        <v>1890</v>
      </c>
      <c r="I17" s="309"/>
      <c r="J17" s="309"/>
      <c r="Q17" s="18"/>
    </row>
    <row r="18" spans="1:17" s="257" customFormat="1" ht="38.25" customHeight="1">
      <c r="A18" s="137" t="s">
        <v>386</v>
      </c>
      <c r="B18" s="52" t="s">
        <v>411</v>
      </c>
      <c r="C18" s="238"/>
      <c r="D18" s="238"/>
      <c r="E18" s="238"/>
      <c r="F18" s="159">
        <f>G18+H18+I18+J18</f>
        <v>890.5</v>
      </c>
      <c r="G18" s="309"/>
      <c r="H18" s="309">
        <v>890.5</v>
      </c>
      <c r="I18" s="309"/>
      <c r="J18" s="309"/>
      <c r="Q18" s="18"/>
    </row>
    <row r="19" spans="1:17" s="272" customFormat="1" ht="22.5" customHeight="1">
      <c r="A19" s="65" t="s">
        <v>403</v>
      </c>
      <c r="B19" s="52" t="s">
        <v>412</v>
      </c>
      <c r="C19" s="238"/>
      <c r="D19" s="238"/>
      <c r="E19" s="238"/>
      <c r="F19" s="159">
        <f>G19+H19+I19+J19</f>
        <v>2500</v>
      </c>
      <c r="G19" s="309"/>
      <c r="H19" s="309"/>
      <c r="I19" s="309">
        <v>2500</v>
      </c>
      <c r="J19" s="309"/>
      <c r="Q19" s="18"/>
    </row>
    <row r="20" spans="1:17" s="257" customFormat="1" ht="23.25" hidden="1" customHeight="1" outlineLevel="1">
      <c r="A20" s="222"/>
      <c r="B20" s="280"/>
      <c r="C20" s="238"/>
      <c r="D20" s="238"/>
      <c r="E20" s="238"/>
      <c r="F20" s="281"/>
      <c r="G20" s="212"/>
      <c r="H20" s="212"/>
      <c r="I20" s="212"/>
      <c r="J20" s="212"/>
      <c r="Q20" s="18"/>
    </row>
    <row r="21" spans="1:17" ht="41.25" customHeight="1" collapsed="1">
      <c r="A21" s="203" t="s">
        <v>13</v>
      </c>
      <c r="B21" s="52">
        <v>4030</v>
      </c>
      <c r="C21" s="157">
        <v>0</v>
      </c>
      <c r="D21" s="157">
        <v>0</v>
      </c>
      <c r="E21" s="157">
        <v>0</v>
      </c>
      <c r="F21" s="79">
        <v>0</v>
      </c>
      <c r="G21" s="79"/>
      <c r="H21" s="79"/>
      <c r="I21" s="79"/>
      <c r="J21" s="79"/>
      <c r="P21" s="18"/>
    </row>
    <row r="22" spans="1:17" ht="43.5" customHeight="1">
      <c r="A22" s="203" t="s">
        <v>1</v>
      </c>
      <c r="B22" s="51">
        <v>4040</v>
      </c>
      <c r="C22" s="157"/>
      <c r="D22" s="79" t="s">
        <v>347</v>
      </c>
      <c r="E22" s="79"/>
      <c r="F22" s="79"/>
      <c r="G22" s="79"/>
      <c r="H22" s="79"/>
      <c r="I22" s="79"/>
      <c r="J22" s="79"/>
    </row>
    <row r="23" spans="1:17" ht="56.25" customHeight="1">
      <c r="A23" s="203" t="s">
        <v>313</v>
      </c>
      <c r="B23" s="156">
        <v>4050</v>
      </c>
      <c r="C23" s="157">
        <v>0</v>
      </c>
      <c r="D23" s="79">
        <f t="shared" ref="D23:E23" si="0">D24+D25</f>
        <v>0</v>
      </c>
      <c r="E23" s="79">
        <f t="shared" si="0"/>
        <v>0</v>
      </c>
      <c r="F23" s="79">
        <f>F24+F25</f>
        <v>978.6</v>
      </c>
      <c r="G23" s="79">
        <f>G24+G25</f>
        <v>0</v>
      </c>
      <c r="H23" s="79">
        <f>H24+H25</f>
        <v>459.2</v>
      </c>
      <c r="I23" s="79">
        <f t="shared" ref="I23:J23" si="1">I24+I25</f>
        <v>259.7</v>
      </c>
      <c r="J23" s="79">
        <f t="shared" si="1"/>
        <v>259.7</v>
      </c>
    </row>
    <row r="24" spans="1:17" ht="39.75" customHeight="1">
      <c r="A24" s="346" t="s">
        <v>393</v>
      </c>
      <c r="B24" s="8" t="s">
        <v>390</v>
      </c>
      <c r="C24" s="93">
        <v>0</v>
      </c>
      <c r="D24" s="93">
        <v>0</v>
      </c>
      <c r="E24" s="93"/>
      <c r="F24" s="93">
        <f>G24+H24+I24+J24</f>
        <v>199.5</v>
      </c>
      <c r="G24" s="93"/>
      <c r="H24" s="93">
        <v>199.5</v>
      </c>
      <c r="I24" s="93"/>
      <c r="J24" s="93"/>
    </row>
    <row r="25" spans="1:17" s="327" customFormat="1" ht="39.75" customHeight="1">
      <c r="A25" s="346" t="s">
        <v>409</v>
      </c>
      <c r="B25" s="8" t="s">
        <v>352</v>
      </c>
      <c r="C25" s="93"/>
      <c r="D25" s="93"/>
      <c r="E25" s="93"/>
      <c r="F25" s="93">
        <v>779.1</v>
      </c>
      <c r="G25" s="93"/>
      <c r="H25" s="93">
        <f>ROUND(F25/3,1)</f>
        <v>259.7</v>
      </c>
      <c r="I25" s="93">
        <f>ROUND(F25/3,1)</f>
        <v>259.7</v>
      </c>
      <c r="J25" s="93">
        <f>ROUND(F25/3,1)</f>
        <v>259.7</v>
      </c>
      <c r="K25" s="327">
        <v>690</v>
      </c>
    </row>
    <row r="26" spans="1:17" hidden="1" outlineLevel="1">
      <c r="A26" s="277"/>
      <c r="B26" s="278"/>
      <c r="C26" s="252"/>
      <c r="D26" s="252"/>
      <c r="E26" s="252"/>
      <c r="F26" s="252"/>
      <c r="G26" s="252"/>
      <c r="H26" s="279"/>
      <c r="I26" s="279"/>
      <c r="J26" s="252"/>
    </row>
    <row r="27" spans="1:17" ht="50.25" customHeight="1" collapsed="1">
      <c r="A27" s="160"/>
      <c r="B27" s="24"/>
      <c r="C27" s="161"/>
      <c r="D27" s="161"/>
      <c r="E27" s="161"/>
      <c r="F27" s="161"/>
      <c r="G27" s="161"/>
      <c r="H27" s="162"/>
      <c r="I27" s="162"/>
      <c r="J27" s="162"/>
    </row>
    <row r="28" spans="1:17" ht="32.25" customHeight="1">
      <c r="A28" s="41" t="s">
        <v>351</v>
      </c>
      <c r="B28" s="1"/>
      <c r="C28" s="414" t="s">
        <v>85</v>
      </c>
      <c r="D28" s="414"/>
      <c r="E28" s="414"/>
      <c r="F28" s="414"/>
      <c r="G28" s="12"/>
      <c r="H28" s="397" t="s">
        <v>316</v>
      </c>
      <c r="I28" s="397"/>
      <c r="J28" s="397"/>
    </row>
    <row r="29" spans="1:17" s="2" customFormat="1" ht="20.100000000000001" customHeight="1">
      <c r="A29" s="163" t="s">
        <v>61</v>
      </c>
      <c r="B29" s="164"/>
      <c r="C29" s="415" t="s">
        <v>62</v>
      </c>
      <c r="D29" s="415"/>
      <c r="E29" s="415"/>
      <c r="F29" s="415"/>
      <c r="G29" s="165"/>
      <c r="H29" s="416" t="s">
        <v>81</v>
      </c>
      <c r="I29" s="416"/>
      <c r="J29" s="416"/>
    </row>
    <row r="30" spans="1:17">
      <c r="A30" s="37"/>
    </row>
    <row r="31" spans="1:17">
      <c r="A31" s="37"/>
    </row>
    <row r="32" spans="1:17">
      <c r="A32" s="37"/>
    </row>
    <row r="33" spans="1:1">
      <c r="A33" s="37"/>
    </row>
    <row r="34" spans="1:1">
      <c r="A34" s="37"/>
    </row>
    <row r="35" spans="1:1">
      <c r="A35" s="37"/>
    </row>
    <row r="36" spans="1:1">
      <c r="A36" s="37"/>
    </row>
    <row r="37" spans="1:1">
      <c r="A37" s="37"/>
    </row>
    <row r="38" spans="1:1">
      <c r="A38" s="37"/>
    </row>
    <row r="39" spans="1:1">
      <c r="A39" s="37"/>
    </row>
    <row r="40" spans="1:1">
      <c r="A40" s="37"/>
    </row>
    <row r="41" spans="1:1">
      <c r="A41" s="37"/>
    </row>
    <row r="42" spans="1:1">
      <c r="A42" s="37"/>
    </row>
    <row r="43" spans="1:1">
      <c r="A43" s="37"/>
    </row>
    <row r="44" spans="1:1">
      <c r="A44" s="37"/>
    </row>
    <row r="45" spans="1:1">
      <c r="A45" s="37"/>
    </row>
    <row r="46" spans="1:1">
      <c r="A46" s="37"/>
    </row>
    <row r="47" spans="1:1">
      <c r="A47" s="37"/>
    </row>
    <row r="48" spans="1:1">
      <c r="A48" s="37"/>
    </row>
    <row r="49" spans="1:1">
      <c r="A49" s="37"/>
    </row>
    <row r="50" spans="1:1">
      <c r="A50" s="37"/>
    </row>
    <row r="51" spans="1:1">
      <c r="A51" s="37"/>
    </row>
    <row r="52" spans="1:1">
      <c r="A52" s="37"/>
    </row>
    <row r="53" spans="1:1">
      <c r="A53" s="37"/>
    </row>
    <row r="54" spans="1:1">
      <c r="A54" s="37"/>
    </row>
    <row r="55" spans="1:1">
      <c r="A55" s="37"/>
    </row>
    <row r="56" spans="1:1">
      <c r="A56" s="37"/>
    </row>
    <row r="57" spans="1:1">
      <c r="A57" s="37"/>
    </row>
    <row r="58" spans="1:1">
      <c r="A58" s="37"/>
    </row>
    <row r="59" spans="1:1">
      <c r="A59" s="37"/>
    </row>
    <row r="60" spans="1:1">
      <c r="A60" s="37"/>
    </row>
    <row r="61" spans="1:1">
      <c r="A61" s="37"/>
    </row>
    <row r="62" spans="1:1">
      <c r="A62" s="37"/>
    </row>
    <row r="63" spans="1:1">
      <c r="A63" s="37"/>
    </row>
    <row r="64" spans="1:1">
      <c r="A64" s="37"/>
    </row>
    <row r="65" spans="1:1">
      <c r="A65" s="37"/>
    </row>
    <row r="66" spans="1:1">
      <c r="A66" s="37"/>
    </row>
    <row r="67" spans="1:1">
      <c r="A67" s="37"/>
    </row>
    <row r="68" spans="1:1">
      <c r="A68" s="37"/>
    </row>
    <row r="69" spans="1:1">
      <c r="A69" s="37"/>
    </row>
    <row r="70" spans="1:1">
      <c r="A70" s="37"/>
    </row>
    <row r="71" spans="1:1">
      <c r="A71" s="37"/>
    </row>
    <row r="72" spans="1:1">
      <c r="A72" s="37"/>
    </row>
    <row r="73" spans="1:1">
      <c r="A73" s="37"/>
    </row>
    <row r="74" spans="1:1">
      <c r="A74" s="37"/>
    </row>
    <row r="75" spans="1:1">
      <c r="A75" s="37"/>
    </row>
    <row r="76" spans="1:1">
      <c r="A76" s="37"/>
    </row>
    <row r="77" spans="1:1">
      <c r="A77" s="37"/>
    </row>
    <row r="78" spans="1:1">
      <c r="A78" s="37"/>
    </row>
    <row r="79" spans="1:1">
      <c r="A79" s="37"/>
    </row>
    <row r="80" spans="1:1">
      <c r="A80" s="37"/>
    </row>
    <row r="81" spans="1:1">
      <c r="A81" s="37"/>
    </row>
    <row r="82" spans="1:1">
      <c r="A82" s="37"/>
    </row>
    <row r="83" spans="1:1">
      <c r="A83" s="37"/>
    </row>
    <row r="84" spans="1:1">
      <c r="A84" s="37"/>
    </row>
    <row r="85" spans="1:1">
      <c r="A85" s="37"/>
    </row>
    <row r="86" spans="1:1">
      <c r="A86" s="37"/>
    </row>
    <row r="87" spans="1:1">
      <c r="A87" s="37"/>
    </row>
    <row r="88" spans="1:1">
      <c r="A88" s="37"/>
    </row>
    <row r="89" spans="1:1">
      <c r="A89" s="37"/>
    </row>
    <row r="90" spans="1:1">
      <c r="A90" s="37"/>
    </row>
    <row r="91" spans="1:1">
      <c r="A91" s="37"/>
    </row>
    <row r="92" spans="1:1">
      <c r="A92" s="37"/>
    </row>
    <row r="93" spans="1:1">
      <c r="A93" s="37"/>
    </row>
    <row r="94" spans="1:1">
      <c r="A94" s="37"/>
    </row>
    <row r="95" spans="1:1">
      <c r="A95" s="37"/>
    </row>
    <row r="96" spans="1:1">
      <c r="A96" s="37"/>
    </row>
    <row r="97" spans="1:1">
      <c r="A97" s="37"/>
    </row>
    <row r="98" spans="1:1">
      <c r="A98" s="37"/>
    </row>
    <row r="99" spans="1:1">
      <c r="A99" s="37"/>
    </row>
    <row r="100" spans="1:1">
      <c r="A100" s="37"/>
    </row>
    <row r="101" spans="1:1">
      <c r="A101" s="37"/>
    </row>
    <row r="102" spans="1:1">
      <c r="A102" s="37"/>
    </row>
    <row r="103" spans="1:1">
      <c r="A103" s="37"/>
    </row>
    <row r="104" spans="1:1">
      <c r="A104" s="37"/>
    </row>
    <row r="105" spans="1:1">
      <c r="A105" s="37"/>
    </row>
    <row r="106" spans="1:1">
      <c r="A106" s="37"/>
    </row>
    <row r="107" spans="1:1">
      <c r="A107" s="37"/>
    </row>
    <row r="108" spans="1:1">
      <c r="A108" s="37"/>
    </row>
    <row r="109" spans="1:1">
      <c r="A109" s="37"/>
    </row>
    <row r="110" spans="1:1">
      <c r="A110" s="37"/>
    </row>
    <row r="111" spans="1:1">
      <c r="A111" s="37"/>
    </row>
    <row r="112" spans="1:1">
      <c r="A112" s="37"/>
    </row>
    <row r="113" spans="1:1">
      <c r="A113" s="37"/>
    </row>
    <row r="114" spans="1:1">
      <c r="A114" s="37"/>
    </row>
    <row r="115" spans="1:1">
      <c r="A115" s="37"/>
    </row>
    <row r="116" spans="1:1">
      <c r="A116" s="37"/>
    </row>
    <row r="117" spans="1:1">
      <c r="A117" s="37"/>
    </row>
    <row r="118" spans="1:1">
      <c r="A118" s="37"/>
    </row>
    <row r="119" spans="1:1">
      <c r="A119" s="37"/>
    </row>
    <row r="120" spans="1:1">
      <c r="A120" s="37"/>
    </row>
    <row r="121" spans="1:1">
      <c r="A121" s="37"/>
    </row>
    <row r="122" spans="1:1">
      <c r="A122" s="37"/>
    </row>
    <row r="123" spans="1:1">
      <c r="A123" s="37"/>
    </row>
    <row r="124" spans="1:1">
      <c r="A124" s="37"/>
    </row>
    <row r="125" spans="1:1">
      <c r="A125" s="37"/>
    </row>
    <row r="126" spans="1:1">
      <c r="A126" s="37"/>
    </row>
    <row r="127" spans="1:1">
      <c r="A127" s="37"/>
    </row>
    <row r="128" spans="1:1">
      <c r="A128" s="37"/>
    </row>
    <row r="129" spans="1:1">
      <c r="A129" s="37"/>
    </row>
    <row r="130" spans="1:1">
      <c r="A130" s="37"/>
    </row>
    <row r="131" spans="1:1">
      <c r="A131" s="37"/>
    </row>
    <row r="132" spans="1:1">
      <c r="A132" s="37"/>
    </row>
    <row r="133" spans="1:1">
      <c r="A133" s="37"/>
    </row>
    <row r="134" spans="1:1">
      <c r="A134" s="37"/>
    </row>
    <row r="135" spans="1:1">
      <c r="A135" s="37"/>
    </row>
    <row r="136" spans="1:1">
      <c r="A136" s="37"/>
    </row>
    <row r="137" spans="1:1">
      <c r="A137" s="37"/>
    </row>
    <row r="138" spans="1:1">
      <c r="A138" s="37"/>
    </row>
    <row r="139" spans="1:1">
      <c r="A139" s="37"/>
    </row>
    <row r="140" spans="1:1">
      <c r="A140" s="37"/>
    </row>
    <row r="141" spans="1:1">
      <c r="A141" s="37"/>
    </row>
    <row r="142" spans="1:1">
      <c r="A142" s="37"/>
    </row>
    <row r="143" spans="1:1">
      <c r="A143" s="37"/>
    </row>
    <row r="144" spans="1:1">
      <c r="A144" s="37"/>
    </row>
    <row r="145" spans="1:1">
      <c r="A145" s="37"/>
    </row>
    <row r="146" spans="1:1">
      <c r="A146" s="37"/>
    </row>
    <row r="147" spans="1:1">
      <c r="A147" s="37"/>
    </row>
    <row r="148" spans="1:1">
      <c r="A148" s="37"/>
    </row>
    <row r="149" spans="1:1">
      <c r="A149" s="37"/>
    </row>
    <row r="150" spans="1:1">
      <c r="A150" s="37"/>
    </row>
    <row r="151" spans="1:1">
      <c r="A151" s="37"/>
    </row>
    <row r="152" spans="1:1">
      <c r="A152" s="37"/>
    </row>
    <row r="153" spans="1:1">
      <c r="A153" s="37"/>
    </row>
    <row r="154" spans="1:1">
      <c r="A154" s="37"/>
    </row>
    <row r="155" spans="1:1">
      <c r="A155" s="37"/>
    </row>
    <row r="156" spans="1:1">
      <c r="A156" s="37"/>
    </row>
    <row r="157" spans="1:1">
      <c r="A157" s="37"/>
    </row>
    <row r="158" spans="1:1">
      <c r="A158" s="37"/>
    </row>
    <row r="159" spans="1:1">
      <c r="A159" s="37"/>
    </row>
    <row r="160" spans="1:1">
      <c r="A160" s="37"/>
    </row>
    <row r="161" spans="1:1">
      <c r="A161" s="37"/>
    </row>
    <row r="162" spans="1:1">
      <c r="A162" s="37"/>
    </row>
    <row r="163" spans="1:1">
      <c r="A163" s="37"/>
    </row>
    <row r="164" spans="1:1">
      <c r="A164" s="37"/>
    </row>
    <row r="165" spans="1:1">
      <c r="A165" s="37"/>
    </row>
    <row r="166" spans="1:1">
      <c r="A166" s="37"/>
    </row>
    <row r="167" spans="1:1">
      <c r="A167" s="37"/>
    </row>
    <row r="168" spans="1:1">
      <c r="A168" s="37"/>
    </row>
    <row r="169" spans="1:1">
      <c r="A169" s="37"/>
    </row>
    <row r="170" spans="1:1">
      <c r="A170" s="37"/>
    </row>
    <row r="171" spans="1:1">
      <c r="A171" s="37"/>
    </row>
    <row r="172" spans="1:1">
      <c r="A172" s="37"/>
    </row>
    <row r="173" spans="1:1">
      <c r="A173" s="37"/>
    </row>
    <row r="174" spans="1:1">
      <c r="A174" s="37"/>
    </row>
    <row r="175" spans="1:1">
      <c r="A175" s="37"/>
    </row>
    <row r="176" spans="1:1">
      <c r="A176" s="37"/>
    </row>
    <row r="177" spans="1:1">
      <c r="A177" s="37"/>
    </row>
    <row r="178" spans="1:1">
      <c r="A178" s="37"/>
    </row>
    <row r="179" spans="1:1">
      <c r="A179" s="37"/>
    </row>
    <row r="180" spans="1:1">
      <c r="A180" s="37"/>
    </row>
    <row r="181" spans="1:1">
      <c r="A181" s="37"/>
    </row>
    <row r="182" spans="1:1">
      <c r="A182" s="37"/>
    </row>
    <row r="183" spans="1:1">
      <c r="A183" s="37"/>
    </row>
    <row r="184" spans="1:1">
      <c r="A184" s="37"/>
    </row>
    <row r="185" spans="1:1">
      <c r="A185" s="37"/>
    </row>
    <row r="186" spans="1:1">
      <c r="A186" s="37"/>
    </row>
    <row r="187" spans="1:1">
      <c r="A187" s="37"/>
    </row>
    <row r="188" spans="1:1">
      <c r="A188" s="37"/>
    </row>
    <row r="189" spans="1:1">
      <c r="A189" s="37"/>
    </row>
    <row r="190" spans="1:1">
      <c r="A190" s="37"/>
    </row>
    <row r="191" spans="1:1">
      <c r="A191" s="37"/>
    </row>
    <row r="192" spans="1:1">
      <c r="A192" s="37"/>
    </row>
    <row r="193" spans="1:1">
      <c r="A193" s="37"/>
    </row>
    <row r="194" spans="1:1">
      <c r="A194" s="37"/>
    </row>
    <row r="195" spans="1:1">
      <c r="A195" s="37"/>
    </row>
  </sheetData>
  <mergeCells count="13">
    <mergeCell ref="A3:J3"/>
    <mergeCell ref="B5:B6"/>
    <mergeCell ref="C5:C6"/>
    <mergeCell ref="A4:J4"/>
    <mergeCell ref="F5:F6"/>
    <mergeCell ref="E5:E6"/>
    <mergeCell ref="D5:D6"/>
    <mergeCell ref="G5:J5"/>
    <mergeCell ref="C28:F28"/>
    <mergeCell ref="H28:J28"/>
    <mergeCell ref="C29:F29"/>
    <mergeCell ref="H29:J29"/>
    <mergeCell ref="A5:A6"/>
  </mergeCells>
  <phoneticPr fontId="0" type="noConversion"/>
  <printOptions horizontalCentered="1"/>
  <pageMargins left="0.32" right="0.19685039370078741" top="0.54" bottom="0.78740157480314965" header="0.27559055118110237" footer="0.31496062992125984"/>
  <pageSetup paperSize="9" scale="58" firstPageNumber="9" fitToHeight="0" orientation="portrait" useFirstPageNumber="1" r:id="rId1"/>
  <headerFooter alignWithMargins="0">
    <oddHeader>&amp;C&amp;"Times New Roman,обычный"&amp;14 10&amp;R&amp;"Times New Roman,обычный"&amp;14Продовження додатка 1 Таблиця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</sheetPr>
  <dimension ref="A1:AJ102"/>
  <sheetViews>
    <sheetView topLeftCell="A16" zoomScale="55" zoomScaleNormal="55" zoomScaleSheetLayoutView="75" workbookViewId="0">
      <selection activeCell="D27" sqref="D27"/>
    </sheetView>
  </sheetViews>
  <sheetFormatPr defaultRowHeight="18.75" outlineLevelCol="1"/>
  <cols>
    <col min="1" max="1" width="32.85546875" style="2" customWidth="1"/>
    <col min="2" max="2" width="13.5703125" style="17" customWidth="1"/>
    <col min="3" max="3" width="13" style="17" customWidth="1"/>
    <col min="4" max="4" width="12.42578125" style="17" customWidth="1"/>
    <col min="5" max="5" width="13.42578125" style="2" customWidth="1"/>
    <col min="6" max="6" width="3.140625" style="2" hidden="1" customWidth="1"/>
    <col min="7" max="7" width="10.7109375" style="2" customWidth="1"/>
    <col min="8" max="8" width="7.85546875" style="2" customWidth="1"/>
    <col min="9" max="9" width="12.5703125" style="2" customWidth="1"/>
    <col min="10" max="10" width="9.28515625" style="2" customWidth="1"/>
    <col min="11" max="11" width="12.85546875" style="2" hidden="1" customWidth="1" outlineLevel="1"/>
    <col min="12" max="12" width="13.42578125" style="2" customWidth="1" collapsed="1"/>
    <col min="13" max="13" width="13.140625" style="2" customWidth="1"/>
    <col min="14" max="14" width="10" style="2" customWidth="1"/>
    <col min="15" max="15" width="10.85546875" style="2" customWidth="1"/>
    <col min="16" max="16" width="8.5703125" style="2" customWidth="1"/>
    <col min="17" max="17" width="11.42578125" style="2" customWidth="1"/>
    <col min="18" max="18" width="7.42578125" style="2" customWidth="1"/>
    <col min="19" max="19" width="5.85546875" style="2" customWidth="1"/>
    <col min="20" max="20" width="8.7109375" style="2" customWidth="1"/>
    <col min="21" max="21" width="7.28515625" style="2" customWidth="1"/>
    <col min="22" max="22" width="8" style="2" customWidth="1"/>
    <col min="23" max="23" width="9.28515625" style="2" customWidth="1"/>
    <col min="24" max="24" width="7" style="2" customWidth="1"/>
    <col min="25" max="25" width="5.85546875" style="2" customWidth="1"/>
    <col min="26" max="26" width="5.7109375" style="2" customWidth="1"/>
    <col min="27" max="27" width="9.85546875" style="2" customWidth="1"/>
    <col min="28" max="28" width="10.5703125" style="2" customWidth="1"/>
    <col min="29" max="29" width="11.140625" style="2" customWidth="1"/>
    <col min="30" max="30" width="9" style="2" customWidth="1"/>
    <col min="31" max="31" width="12.140625" style="2" customWidth="1"/>
    <col min="32" max="16384" width="9.140625" style="2"/>
  </cols>
  <sheetData>
    <row r="1" spans="1:17" ht="0.75" customHeight="1"/>
    <row r="2" spans="1:17" hidden="1">
      <c r="B2" s="516"/>
      <c r="C2" s="516"/>
      <c r="D2" s="516"/>
      <c r="E2" s="516"/>
      <c r="F2" s="516"/>
      <c r="G2" s="516"/>
      <c r="H2" s="516"/>
      <c r="I2" s="516"/>
    </row>
    <row r="3" spans="1:17" ht="29.25" customHeight="1">
      <c r="B3" s="80"/>
      <c r="C3" s="80"/>
      <c r="D3" s="80"/>
      <c r="E3" s="80"/>
      <c r="F3" s="80"/>
      <c r="G3" s="80"/>
      <c r="H3" s="80"/>
      <c r="I3" s="80"/>
    </row>
    <row r="4" spans="1:17">
      <c r="A4" s="516" t="s">
        <v>293</v>
      </c>
      <c r="B4" s="516"/>
      <c r="C4" s="516"/>
      <c r="D4" s="516"/>
      <c r="E4" s="516"/>
      <c r="F4" s="516"/>
      <c r="G4" s="516"/>
      <c r="H4" s="516"/>
      <c r="I4" s="516"/>
      <c r="J4" s="516"/>
      <c r="K4" s="80"/>
      <c r="L4" s="80"/>
      <c r="M4" s="80"/>
      <c r="N4" s="80"/>
      <c r="O4" s="80"/>
      <c r="P4" s="80"/>
      <c r="Q4" s="80"/>
    </row>
    <row r="5" spans="1:17">
      <c r="A5" s="516" t="s">
        <v>382</v>
      </c>
      <c r="B5" s="516"/>
      <c r="C5" s="516"/>
      <c r="D5" s="516"/>
      <c r="E5" s="516"/>
      <c r="F5" s="516"/>
      <c r="G5" s="516"/>
      <c r="H5" s="516"/>
      <c r="I5" s="516"/>
      <c r="J5" s="516"/>
      <c r="K5" s="80"/>
      <c r="L5" s="80"/>
      <c r="M5" s="80"/>
      <c r="N5" s="80"/>
      <c r="O5" s="80"/>
      <c r="P5" s="80"/>
      <c r="Q5" s="80"/>
    </row>
    <row r="6" spans="1:17">
      <c r="A6" s="376" t="s">
        <v>317</v>
      </c>
      <c r="B6" s="376"/>
      <c r="C6" s="376"/>
      <c r="D6" s="376"/>
      <c r="E6" s="376"/>
      <c r="F6" s="376"/>
      <c r="G6" s="376"/>
      <c r="H6" s="376"/>
      <c r="I6" s="376"/>
      <c r="J6" s="376"/>
      <c r="K6" s="183"/>
      <c r="L6" s="21"/>
      <c r="M6" s="21"/>
      <c r="N6" s="21"/>
      <c r="O6" s="21"/>
      <c r="P6" s="21"/>
      <c r="Q6" s="21"/>
    </row>
    <row r="7" spans="1:17" ht="20.100000000000001" customHeight="1">
      <c r="A7" s="363" t="s">
        <v>105</v>
      </c>
      <c r="B7" s="363"/>
      <c r="C7" s="363"/>
      <c r="D7" s="363"/>
      <c r="E7" s="363"/>
      <c r="F7" s="363"/>
      <c r="G7" s="363"/>
      <c r="H7" s="363"/>
      <c r="I7" s="363"/>
      <c r="J7" s="363"/>
      <c r="K7" s="49"/>
      <c r="L7" s="49"/>
      <c r="M7" s="49"/>
      <c r="N7" s="49"/>
      <c r="O7" s="49"/>
      <c r="P7" s="49"/>
      <c r="Q7" s="49"/>
    </row>
    <row r="8" spans="1:17" ht="21.95" customHeight="1">
      <c r="A8" s="259" t="s">
        <v>266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5"/>
      <c r="M8" s="5"/>
      <c r="N8" s="5"/>
      <c r="O8" s="5"/>
      <c r="P8" s="5"/>
      <c r="Q8" s="5"/>
    </row>
    <row r="9" spans="1:17" ht="16.5" customHeight="1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</row>
    <row r="10" spans="1:17" ht="18.75" customHeight="1">
      <c r="A10" s="2" t="s">
        <v>218</v>
      </c>
      <c r="B10" s="2"/>
      <c r="C10" s="2"/>
      <c r="D10" s="2"/>
    </row>
    <row r="11" spans="1:17" ht="18.75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M11" s="54"/>
      <c r="N11" s="54"/>
      <c r="O11" s="54"/>
      <c r="P11" s="54"/>
      <c r="Q11" s="54"/>
    </row>
    <row r="12" spans="1:17" s="3" customFormat="1" ht="75" customHeight="1">
      <c r="A12" s="6" t="s">
        <v>182</v>
      </c>
      <c r="B12" s="302" t="s">
        <v>399</v>
      </c>
      <c r="C12" s="302" t="s">
        <v>400</v>
      </c>
      <c r="D12" s="302" t="s">
        <v>359</v>
      </c>
      <c r="E12" s="202" t="s">
        <v>107</v>
      </c>
      <c r="F12" s="202"/>
      <c r="G12" s="403" t="s">
        <v>362</v>
      </c>
      <c r="H12" s="403"/>
      <c r="I12" s="403" t="s">
        <v>363</v>
      </c>
      <c r="J12" s="403"/>
      <c r="M12" s="40"/>
      <c r="N12" s="358" t="s">
        <v>396</v>
      </c>
      <c r="O12" s="358" t="s">
        <v>397</v>
      </c>
      <c r="P12" s="359" t="s">
        <v>398</v>
      </c>
      <c r="Q12" s="40"/>
    </row>
    <row r="13" spans="1:17" s="3" customFormat="1" ht="18" customHeight="1">
      <c r="A13" s="6">
        <v>1</v>
      </c>
      <c r="B13" s="293">
        <v>2</v>
      </c>
      <c r="C13" s="294">
        <v>3</v>
      </c>
      <c r="D13" s="293">
        <v>4</v>
      </c>
      <c r="E13" s="294">
        <v>5</v>
      </c>
      <c r="F13" s="6"/>
      <c r="G13" s="404">
        <v>6</v>
      </c>
      <c r="H13" s="404"/>
      <c r="I13" s="404">
        <v>7</v>
      </c>
      <c r="J13" s="519"/>
      <c r="M13" s="158"/>
      <c r="N13" s="40"/>
      <c r="O13" s="40"/>
      <c r="P13" s="40"/>
      <c r="Q13" s="40"/>
    </row>
    <row r="14" spans="1:17" s="3" customFormat="1" ht="60.75" customHeight="1">
      <c r="A14" s="9" t="s">
        <v>106</v>
      </c>
      <c r="B14" s="59">
        <v>92</v>
      </c>
      <c r="C14" s="135">
        <v>86</v>
      </c>
      <c r="D14" s="135">
        <f>D15+D16+D17+D18+D19</f>
        <v>89</v>
      </c>
      <c r="E14" s="135">
        <f>E15+E16+E17+E18+E19</f>
        <v>98</v>
      </c>
      <c r="F14" s="60"/>
      <c r="G14" s="479">
        <f>E14/D14*100</f>
        <v>110.11235955056181</v>
      </c>
      <c r="H14" s="479"/>
      <c r="I14" s="479">
        <f>E14/C14*100</f>
        <v>113.95348837209302</v>
      </c>
      <c r="J14" s="480"/>
      <c r="L14" s="350"/>
      <c r="M14" s="351">
        <f>110.1-12-3.5</f>
        <v>94.6</v>
      </c>
      <c r="N14" s="352"/>
      <c r="O14" s="352"/>
      <c r="P14" s="353"/>
      <c r="Q14" s="28"/>
    </row>
    <row r="15" spans="1:17" s="3" customFormat="1" ht="20.100000000000001" customHeight="1">
      <c r="A15" s="8" t="s">
        <v>201</v>
      </c>
      <c r="B15" s="7">
        <v>4</v>
      </c>
      <c r="C15" s="7">
        <v>4</v>
      </c>
      <c r="D15" s="7">
        <v>4</v>
      </c>
      <c r="E15" s="307">
        <v>4</v>
      </c>
      <c r="F15" s="8"/>
      <c r="G15" s="479">
        <f>E15/D15*100</f>
        <v>100</v>
      </c>
      <c r="H15" s="479"/>
      <c r="I15" s="517">
        <v>100</v>
      </c>
      <c r="J15" s="519"/>
      <c r="L15" s="350"/>
      <c r="M15" s="354"/>
      <c r="N15" s="352"/>
      <c r="O15" s="352"/>
      <c r="P15" s="353"/>
      <c r="Q15" s="28"/>
    </row>
    <row r="16" spans="1:17" s="3" customFormat="1" ht="20.100000000000001" customHeight="1">
      <c r="A16" s="8" t="s">
        <v>202</v>
      </c>
      <c r="B16" s="7">
        <v>7</v>
      </c>
      <c r="C16" s="7">
        <v>8</v>
      </c>
      <c r="D16" s="7">
        <v>6</v>
      </c>
      <c r="E16" s="307">
        <v>7</v>
      </c>
      <c r="F16" s="8"/>
      <c r="G16" s="479">
        <v>100</v>
      </c>
      <c r="H16" s="479"/>
      <c r="I16" s="517">
        <f>E16/C16*100</f>
        <v>87.5</v>
      </c>
      <c r="J16" s="518"/>
      <c r="L16" s="350"/>
      <c r="M16" s="355"/>
      <c r="N16" s="352"/>
      <c r="O16" s="352"/>
      <c r="P16" s="353"/>
      <c r="Q16" s="28"/>
    </row>
    <row r="17" spans="1:17" s="3" customFormat="1" ht="20.100000000000001" customHeight="1">
      <c r="A17" s="8" t="s">
        <v>203</v>
      </c>
      <c r="B17" s="7">
        <v>2</v>
      </c>
      <c r="C17" s="7">
        <v>2</v>
      </c>
      <c r="D17" s="7">
        <v>2</v>
      </c>
      <c r="E17" s="307">
        <v>2</v>
      </c>
      <c r="F17" s="8"/>
      <c r="G17" s="479">
        <v>100</v>
      </c>
      <c r="H17" s="479"/>
      <c r="I17" s="517">
        <v>100</v>
      </c>
      <c r="J17" s="519"/>
      <c r="L17" s="350"/>
      <c r="M17" s="354"/>
      <c r="N17" s="352"/>
      <c r="O17" s="352"/>
      <c r="P17" s="353"/>
      <c r="Q17" s="28"/>
    </row>
    <row r="18" spans="1:17" s="3" customFormat="1" ht="20.100000000000001" customHeight="1">
      <c r="A18" s="8" t="s">
        <v>204</v>
      </c>
      <c r="B18" s="7">
        <v>2</v>
      </c>
      <c r="C18" s="7">
        <v>2</v>
      </c>
      <c r="D18" s="7">
        <v>2</v>
      </c>
      <c r="E18" s="307">
        <v>2</v>
      </c>
      <c r="F18" s="8"/>
      <c r="G18" s="479">
        <v>100</v>
      </c>
      <c r="H18" s="479"/>
      <c r="I18" s="517">
        <v>100</v>
      </c>
      <c r="J18" s="519"/>
      <c r="L18" s="350"/>
      <c r="M18" s="354"/>
      <c r="N18" s="352"/>
      <c r="O18" s="352"/>
      <c r="P18" s="353"/>
      <c r="Q18" s="28"/>
    </row>
    <row r="19" spans="1:17" s="3" customFormat="1" ht="20.100000000000001" customHeight="1">
      <c r="A19" s="8" t="s">
        <v>205</v>
      </c>
      <c r="B19" s="7">
        <v>77</v>
      </c>
      <c r="C19" s="7">
        <v>76</v>
      </c>
      <c r="D19" s="7">
        <v>75</v>
      </c>
      <c r="E19" s="307">
        <f>72+3+3+2+3</f>
        <v>83</v>
      </c>
      <c r="F19" s="8"/>
      <c r="G19" s="479">
        <f>E19/D19*100</f>
        <v>110.66666666666667</v>
      </c>
      <c r="H19" s="479"/>
      <c r="I19" s="479">
        <f>E19/C19*100</f>
        <v>109.21052631578947</v>
      </c>
      <c r="J19" s="480"/>
      <c r="L19" s="350"/>
      <c r="M19" s="356"/>
      <c r="N19" s="352">
        <f>[38]Робітники!$D$23-[38]Робітники!$D$17-[38]Робітники!$D$18+'[38]ритуаль трансп'!$D$53</f>
        <v>98.1</v>
      </c>
      <c r="O19" s="352"/>
      <c r="P19" s="353"/>
      <c r="Q19" s="28"/>
    </row>
    <row r="20" spans="1:17" s="3" customFormat="1" ht="20.100000000000001" customHeight="1">
      <c r="A20" s="8" t="s">
        <v>206</v>
      </c>
      <c r="B20" s="8"/>
      <c r="C20" s="8"/>
      <c r="D20" s="8"/>
      <c r="E20" s="8"/>
      <c r="F20" s="8"/>
      <c r="G20" s="479"/>
      <c r="H20" s="479"/>
      <c r="I20" s="517"/>
      <c r="J20" s="519"/>
      <c r="K20" s="158"/>
      <c r="L20" s="352"/>
      <c r="M20" s="352"/>
      <c r="N20" s="353"/>
      <c r="O20" s="353"/>
      <c r="P20" s="357"/>
      <c r="Q20" s="92"/>
    </row>
    <row r="21" spans="1:17" s="3" customFormat="1" ht="39" customHeight="1">
      <c r="A21" s="9" t="s">
        <v>189</v>
      </c>
      <c r="B21" s="268">
        <f>'1.Фінансовий результат'!C112</f>
        <v>6961.0000000000009</v>
      </c>
      <c r="C21" s="268">
        <f>'1.Фінансовий результат'!D112</f>
        <v>7436.7999999999993</v>
      </c>
      <c r="D21" s="268">
        <f>'1.Фінансовий результат'!E112</f>
        <v>9139.261489999999</v>
      </c>
      <c r="E21" s="79">
        <f>'1.Фінансовий результат'!F112</f>
        <v>11189.5</v>
      </c>
      <c r="F21" s="268"/>
      <c r="G21" s="479">
        <f>E21/D21*100</f>
        <v>122.43330615108596</v>
      </c>
      <c r="H21" s="479"/>
      <c r="I21" s="479">
        <f t="shared" ref="I21:I36" si="0">E21/C21*100</f>
        <v>150.46121987951807</v>
      </c>
      <c r="J21" s="480"/>
      <c r="K21" s="184"/>
      <c r="L21" s="352"/>
      <c r="M21" s="352"/>
      <c r="N21" s="353"/>
      <c r="O21" s="353"/>
      <c r="P21" s="357"/>
      <c r="Q21" s="92"/>
    </row>
    <row r="22" spans="1:17" s="3" customFormat="1" ht="20.100000000000001" customHeight="1">
      <c r="A22" s="8" t="s">
        <v>180</v>
      </c>
      <c r="B22" s="8">
        <v>150.19999999999999</v>
      </c>
      <c r="C22" s="8">
        <v>200.9</v>
      </c>
      <c r="D22" s="8">
        <v>200.9</v>
      </c>
      <c r="E22" s="93">
        <f>436414/1000</f>
        <v>436.41399999999999</v>
      </c>
      <c r="F22" s="8"/>
      <c r="G22" s="479">
        <f>E22/D22*100</f>
        <v>217.22946739671477</v>
      </c>
      <c r="H22" s="479"/>
      <c r="I22" s="479">
        <f t="shared" si="0"/>
        <v>217.22946739671477</v>
      </c>
      <c r="J22" s="479"/>
      <c r="K22" s="28"/>
      <c r="L22" s="352"/>
      <c r="M22" s="352"/>
      <c r="N22" s="353"/>
      <c r="O22" s="353"/>
      <c r="P22" s="357"/>
      <c r="Q22" s="92"/>
    </row>
    <row r="23" spans="1:17" s="3" customFormat="1" ht="41.25" customHeight="1">
      <c r="A23" s="8" t="s">
        <v>191</v>
      </c>
      <c r="B23" s="8">
        <v>766.5</v>
      </c>
      <c r="C23" s="8">
        <v>1019.6</v>
      </c>
      <c r="D23" s="262">
        <f>'1.Фінансовий результат'!E45-D22</f>
        <v>1671.1524499999998</v>
      </c>
      <c r="E23" s="93">
        <f>'1.Фінансовий результат'!F45-E22</f>
        <v>2577.6860000000006</v>
      </c>
      <c r="F23" s="8"/>
      <c r="G23" s="479">
        <f>E23/D23*100</f>
        <v>154.24601148746189</v>
      </c>
      <c r="H23" s="479"/>
      <c r="I23" s="479">
        <f t="shared" si="0"/>
        <v>252.81345625735588</v>
      </c>
      <c r="J23" s="480"/>
      <c r="K23" s="184"/>
      <c r="L23" s="352"/>
      <c r="M23" s="352"/>
      <c r="N23" s="353"/>
      <c r="O23" s="353"/>
      <c r="P23" s="357"/>
      <c r="Q23" s="92"/>
    </row>
    <row r="24" spans="1:17" s="3" customFormat="1" ht="20.100000000000001" customHeight="1">
      <c r="A24" s="8" t="s">
        <v>181</v>
      </c>
      <c r="B24" s="8">
        <f>B21-B22-B23</f>
        <v>6044.3000000000011</v>
      </c>
      <c r="C24" s="8">
        <v>5454.9</v>
      </c>
      <c r="D24" s="134">
        <f>D21-D22-D23</f>
        <v>7267.2090399999997</v>
      </c>
      <c r="E24" s="93">
        <f>E21-E22-E23</f>
        <v>8175.3999999999987</v>
      </c>
      <c r="F24" s="8"/>
      <c r="G24" s="479">
        <f>E24/D24*100</f>
        <v>112.49710796815057</v>
      </c>
      <c r="H24" s="479"/>
      <c r="I24" s="479">
        <f t="shared" si="0"/>
        <v>149.87259161487836</v>
      </c>
      <c r="J24" s="480"/>
      <c r="K24" s="184"/>
      <c r="L24" s="352"/>
      <c r="M24" s="352"/>
      <c r="N24" s="353"/>
      <c r="O24" s="353"/>
      <c r="P24" s="357"/>
      <c r="Q24" s="92"/>
    </row>
    <row r="25" spans="1:17" s="3" customFormat="1" ht="42.75" customHeight="1">
      <c r="A25" s="9" t="s">
        <v>190</v>
      </c>
      <c r="B25" s="132">
        <f t="shared" ref="B25:C28" si="1">B21</f>
        <v>6961.0000000000009</v>
      </c>
      <c r="C25" s="9">
        <f t="shared" si="1"/>
        <v>7436.7999999999993</v>
      </c>
      <c r="D25" s="132">
        <f>D21</f>
        <v>9139.261489999999</v>
      </c>
      <c r="E25" s="194">
        <f>E21</f>
        <v>11189.5</v>
      </c>
      <c r="F25" s="9"/>
      <c r="G25" s="520">
        <f>G21</f>
        <v>122.43330615108596</v>
      </c>
      <c r="H25" s="521"/>
      <c r="I25" s="479">
        <f t="shared" si="0"/>
        <v>150.46121987951807</v>
      </c>
      <c r="J25" s="480"/>
      <c r="K25" s="184"/>
      <c r="L25" s="352">
        <f>B27</f>
        <v>766.5</v>
      </c>
      <c r="M25" s="350">
        <v>12</v>
      </c>
      <c r="N25" s="353"/>
      <c r="O25" s="353"/>
      <c r="P25" s="357"/>
      <c r="Q25" s="92"/>
    </row>
    <row r="26" spans="1:17" s="3" customFormat="1" ht="20.100000000000001" customHeight="1">
      <c r="A26" s="8" t="s">
        <v>180</v>
      </c>
      <c r="B26" s="8">
        <f t="shared" si="1"/>
        <v>150.19999999999999</v>
      </c>
      <c r="C26" s="8">
        <f t="shared" si="1"/>
        <v>200.9</v>
      </c>
      <c r="D26" s="8">
        <v>200.9</v>
      </c>
      <c r="E26" s="93">
        <f>E22</f>
        <v>436.41399999999999</v>
      </c>
      <c r="F26" s="8"/>
      <c r="G26" s="479">
        <f t="shared" ref="G26:G36" si="2">E26/D26*100</f>
        <v>217.22946739671477</v>
      </c>
      <c r="H26" s="479"/>
      <c r="I26" s="479">
        <f t="shared" si="0"/>
        <v>217.22946739671477</v>
      </c>
      <c r="J26" s="480"/>
      <c r="K26" s="184"/>
      <c r="L26" s="352">
        <f>B31/1000*12</f>
        <v>51.096000000000004</v>
      </c>
      <c r="M26" s="352">
        <f>L26*M25/L25</f>
        <v>0.79993737769080242</v>
      </c>
      <c r="N26" s="353"/>
      <c r="O26" s="353"/>
      <c r="P26" s="357"/>
      <c r="Q26" s="92"/>
    </row>
    <row r="27" spans="1:17" s="3" customFormat="1" ht="37.5" customHeight="1">
      <c r="A27" s="8" t="s">
        <v>191</v>
      </c>
      <c r="B27" s="8">
        <f t="shared" si="1"/>
        <v>766.5</v>
      </c>
      <c r="C27" s="8">
        <f t="shared" si="1"/>
        <v>1019.6</v>
      </c>
      <c r="D27" s="134">
        <f>D23</f>
        <v>1671.1524499999998</v>
      </c>
      <c r="E27" s="93">
        <f>E23</f>
        <v>2577.6860000000006</v>
      </c>
      <c r="F27" s="8"/>
      <c r="G27" s="479">
        <f t="shared" si="2"/>
        <v>154.24601148746189</v>
      </c>
      <c r="H27" s="479"/>
      <c r="I27" s="479">
        <f t="shared" si="0"/>
        <v>252.81345625735588</v>
      </c>
      <c r="J27" s="480"/>
      <c r="K27" s="184"/>
      <c r="L27" s="352"/>
      <c r="M27" s="352"/>
      <c r="N27" s="353"/>
      <c r="O27" s="353"/>
      <c r="P27" s="357"/>
      <c r="Q27" s="92"/>
    </row>
    <row r="28" spans="1:17" s="3" customFormat="1" ht="20.100000000000001" customHeight="1">
      <c r="A28" s="8" t="s">
        <v>181</v>
      </c>
      <c r="B28" s="8">
        <f t="shared" si="1"/>
        <v>6044.3000000000011</v>
      </c>
      <c r="C28" s="8">
        <f t="shared" si="1"/>
        <v>5454.9</v>
      </c>
      <c r="D28" s="134">
        <f>D24</f>
        <v>7267.2090399999997</v>
      </c>
      <c r="E28" s="93">
        <f>E24</f>
        <v>8175.3999999999987</v>
      </c>
      <c r="F28" s="8"/>
      <c r="G28" s="479">
        <f t="shared" si="2"/>
        <v>112.49710796815057</v>
      </c>
      <c r="H28" s="479"/>
      <c r="I28" s="479">
        <f t="shared" si="0"/>
        <v>149.87259161487836</v>
      </c>
      <c r="J28" s="480"/>
      <c r="K28" s="184"/>
      <c r="L28" s="352"/>
      <c r="M28" s="352"/>
      <c r="N28" s="353"/>
      <c r="O28" s="353"/>
      <c r="P28" s="357"/>
      <c r="Q28" s="92"/>
    </row>
    <row r="29" spans="1:17" s="3" customFormat="1" ht="61.5" customHeight="1">
      <c r="A29" s="9" t="s">
        <v>207</v>
      </c>
      <c r="B29" s="136">
        <v>6305</v>
      </c>
      <c r="C29" s="136">
        <f>C25/C14/12*1000</f>
        <v>7206.2015503875964</v>
      </c>
      <c r="D29" s="136">
        <f>D25/D14/12*1000</f>
        <v>8557.3609456928825</v>
      </c>
      <c r="E29" s="360">
        <f>E25/E14/12*1000</f>
        <v>9514.8809523809523</v>
      </c>
      <c r="F29" s="9"/>
      <c r="G29" s="479">
        <f t="shared" si="2"/>
        <v>111.18943109639442</v>
      </c>
      <c r="H29" s="479"/>
      <c r="I29" s="479">
        <f t="shared" si="0"/>
        <v>132.0373970371281</v>
      </c>
      <c r="J29" s="480"/>
      <c r="K29" s="303"/>
      <c r="L29" s="353">
        <f>B25/B14*1000/12</f>
        <v>6305.2536231884069</v>
      </c>
      <c r="M29" s="352"/>
      <c r="N29" s="353"/>
      <c r="O29" s="353">
        <f>E29-O30-O32</f>
        <v>-35061.185312679285</v>
      </c>
      <c r="P29" s="357"/>
      <c r="Q29" s="304"/>
    </row>
    <row r="30" spans="1:17" s="3" customFormat="1" ht="20.100000000000001" customHeight="1">
      <c r="A30" s="8" t="s">
        <v>180</v>
      </c>
      <c r="B30" s="134">
        <v>12517</v>
      </c>
      <c r="C30" s="134">
        <v>16742</v>
      </c>
      <c r="D30" s="170">
        <f>D26/12*1000</f>
        <v>16741.666666666668</v>
      </c>
      <c r="E30" s="343">
        <f>E26/12*1000</f>
        <v>36367.833333333328</v>
      </c>
      <c r="F30" s="8"/>
      <c r="G30" s="479">
        <f t="shared" si="2"/>
        <v>217.22946739671474</v>
      </c>
      <c r="H30" s="479"/>
      <c r="I30" s="479">
        <f t="shared" si="0"/>
        <v>217.22514235654836</v>
      </c>
      <c r="J30" s="480"/>
      <c r="K30" s="303"/>
      <c r="L30" s="352">
        <f>B22/12*1000</f>
        <v>12516.666666666666</v>
      </c>
      <c r="M30" s="352">
        <f>C22/12*1000</f>
        <v>16741.666666666668</v>
      </c>
      <c r="N30" s="352">
        <f>D22/12*1000</f>
        <v>16741.666666666668</v>
      </c>
      <c r="O30" s="352">
        <f>E22/12*1000</f>
        <v>36367.833333333328</v>
      </c>
      <c r="P30" s="357"/>
      <c r="Q30" s="304"/>
    </row>
    <row r="31" spans="1:17" s="3" customFormat="1" ht="42.75" customHeight="1">
      <c r="A31" s="8" t="s">
        <v>191</v>
      </c>
      <c r="B31" s="134">
        <v>4258</v>
      </c>
      <c r="C31" s="134">
        <v>5664</v>
      </c>
      <c r="D31" s="170">
        <f>D27/(D18+D16+D17+D15-1)*1000/12</f>
        <v>10712.515705128204</v>
      </c>
      <c r="E31" s="361">
        <f>E27/(E18+E16+E17+E15-1)*1000/12</f>
        <v>15343.369047619051</v>
      </c>
      <c r="F31" s="8"/>
      <c r="G31" s="479">
        <f t="shared" si="2"/>
        <v>143.22843923835745</v>
      </c>
      <c r="H31" s="479"/>
      <c r="I31" s="479">
        <f t="shared" si="0"/>
        <v>270.89281510626859</v>
      </c>
      <c r="J31" s="480"/>
      <c r="K31" s="305">
        <f>B31/1000*12</f>
        <v>51.096000000000004</v>
      </c>
      <c r="L31" s="353">
        <f>B27/(B18+B16+B17+B15-1)*1000/12</f>
        <v>4562.5</v>
      </c>
      <c r="M31" s="353">
        <f>C27/(C18+C16+C17+C15-1)*1000/12</f>
        <v>5664.4444444444443</v>
      </c>
      <c r="N31" s="353">
        <f>D27/(D18+D16+D17+D15-1)*1000/12</f>
        <v>10712.515705128204</v>
      </c>
      <c r="O31" s="353">
        <f>E27/(E18+E16+E17+E15-1)*1000/12</f>
        <v>15343.369047619051</v>
      </c>
      <c r="P31" s="357"/>
      <c r="Q31" s="304"/>
    </row>
    <row r="32" spans="1:17" s="3" customFormat="1" ht="20.100000000000001" customHeight="1">
      <c r="A32" s="8" t="s">
        <v>181</v>
      </c>
      <c r="B32" s="134">
        <v>6541</v>
      </c>
      <c r="C32" s="134">
        <v>5981</v>
      </c>
      <c r="D32" s="170">
        <f>D28/D19/12*1000</f>
        <v>8074.6767111111112</v>
      </c>
      <c r="E32" s="361">
        <f>E28/E19/12*1000</f>
        <v>8208.2329317269068</v>
      </c>
      <c r="F32" s="8"/>
      <c r="G32" s="479">
        <f t="shared" si="2"/>
        <v>101.65401322423244</v>
      </c>
      <c r="H32" s="479"/>
      <c r="I32" s="479">
        <f t="shared" si="0"/>
        <v>137.23847068595396</v>
      </c>
      <c r="J32" s="480"/>
      <c r="K32" s="303"/>
      <c r="L32" s="353">
        <f>B28/(B19)*1000/12</f>
        <v>6541.4502164502182</v>
      </c>
      <c r="M32" s="353">
        <f>C28/(C19)*1000/12</f>
        <v>5981.2499999999991</v>
      </c>
      <c r="N32" s="353">
        <f>D28/(D19)*1000/12</f>
        <v>8074.6767111111112</v>
      </c>
      <c r="O32" s="353">
        <f>E28/(E19)*1000/12</f>
        <v>8208.2329317269068</v>
      </c>
      <c r="P32" s="357"/>
      <c r="Q32" s="304"/>
    </row>
    <row r="33" spans="1:26" s="3" customFormat="1" ht="37.5" customHeight="1">
      <c r="A33" s="9" t="s">
        <v>208</v>
      </c>
      <c r="B33" s="9">
        <v>6305</v>
      </c>
      <c r="C33" s="136">
        <v>6047</v>
      </c>
      <c r="D33" s="136">
        <f t="shared" ref="B33:E36" si="3">D29</f>
        <v>8557.3609456928825</v>
      </c>
      <c r="E33" s="360">
        <f t="shared" si="3"/>
        <v>9514.8809523809523</v>
      </c>
      <c r="F33" s="9"/>
      <c r="G33" s="479">
        <f t="shared" si="2"/>
        <v>111.18943109639442</v>
      </c>
      <c r="H33" s="479"/>
      <c r="I33" s="479">
        <f t="shared" si="0"/>
        <v>157.34878373376802</v>
      </c>
      <c r="J33" s="480"/>
      <c r="K33" s="303">
        <f>C33*1.03</f>
        <v>6228.41</v>
      </c>
      <c r="L33" s="352"/>
      <c r="M33" s="352"/>
      <c r="N33" s="353"/>
      <c r="O33" s="353"/>
      <c r="P33" s="357"/>
      <c r="Q33" s="304"/>
    </row>
    <row r="34" spans="1:26" s="3" customFormat="1" ht="20.100000000000001" customHeight="1">
      <c r="A34" s="8" t="s">
        <v>180</v>
      </c>
      <c r="B34" s="134">
        <v>12517</v>
      </c>
      <c r="C34" s="170">
        <f t="shared" si="3"/>
        <v>16742</v>
      </c>
      <c r="D34" s="170">
        <f t="shared" si="3"/>
        <v>16741.666666666668</v>
      </c>
      <c r="E34" s="361">
        <f t="shared" si="3"/>
        <v>36367.833333333328</v>
      </c>
      <c r="F34" s="8"/>
      <c r="G34" s="479">
        <f t="shared" si="2"/>
        <v>217.22946739671474</v>
      </c>
      <c r="H34" s="479"/>
      <c r="I34" s="479">
        <f t="shared" si="0"/>
        <v>217.22514235654836</v>
      </c>
      <c r="J34" s="480"/>
      <c r="K34" s="184"/>
      <c r="L34" s="68"/>
      <c r="M34" s="68"/>
      <c r="N34" s="28"/>
      <c r="O34" s="28"/>
      <c r="P34" s="92"/>
      <c r="Q34" s="92"/>
    </row>
    <row r="35" spans="1:26" s="3" customFormat="1" ht="39" customHeight="1">
      <c r="A35" s="8" t="s">
        <v>191</v>
      </c>
      <c r="B35" s="170">
        <f t="shared" si="3"/>
        <v>4258</v>
      </c>
      <c r="C35" s="170">
        <f t="shared" si="3"/>
        <v>5664</v>
      </c>
      <c r="D35" s="170">
        <f t="shared" si="3"/>
        <v>10712.515705128204</v>
      </c>
      <c r="E35" s="361">
        <f t="shared" si="3"/>
        <v>15343.369047619051</v>
      </c>
      <c r="F35" s="8"/>
      <c r="G35" s="479">
        <f t="shared" si="2"/>
        <v>143.22843923835745</v>
      </c>
      <c r="H35" s="479"/>
      <c r="I35" s="479">
        <f t="shared" si="0"/>
        <v>270.89281510626859</v>
      </c>
      <c r="J35" s="480"/>
      <c r="K35" s="184"/>
      <c r="L35" s="68"/>
      <c r="M35" s="68"/>
      <c r="N35" s="28"/>
      <c r="O35" s="28"/>
      <c r="P35" s="92"/>
      <c r="Q35" s="92"/>
    </row>
    <row r="36" spans="1:26" s="3" customFormat="1" ht="20.100000000000001" customHeight="1">
      <c r="A36" s="8" t="s">
        <v>181</v>
      </c>
      <c r="B36" s="134">
        <v>6541</v>
      </c>
      <c r="C36" s="170">
        <f t="shared" si="3"/>
        <v>5981</v>
      </c>
      <c r="D36" s="136">
        <f t="shared" si="3"/>
        <v>8074.6767111111112</v>
      </c>
      <c r="E36" s="361">
        <f t="shared" si="3"/>
        <v>8208.2329317269068</v>
      </c>
      <c r="F36" s="8"/>
      <c r="G36" s="479">
        <f t="shared" si="2"/>
        <v>101.65401322423244</v>
      </c>
      <c r="H36" s="479"/>
      <c r="I36" s="479">
        <f t="shared" si="0"/>
        <v>137.23847068595396</v>
      </c>
      <c r="J36" s="480"/>
      <c r="K36" s="184"/>
      <c r="L36" s="68"/>
      <c r="M36" s="68"/>
      <c r="N36" s="28"/>
      <c r="O36" s="28"/>
      <c r="P36" s="92"/>
      <c r="Q36" s="92"/>
    </row>
    <row r="37" spans="1:26" ht="20.100000000000001" customHeight="1">
      <c r="A37" s="49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</row>
    <row r="38" spans="1:26" ht="21.95" customHeight="1">
      <c r="A38" s="29" t="s">
        <v>246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</row>
    <row r="39" spans="1:26" ht="20.100000000000001" customHeight="1">
      <c r="A39" s="16"/>
    </row>
    <row r="40" spans="1:26" ht="63.75" customHeight="1">
      <c r="A40" s="404" t="s">
        <v>182</v>
      </c>
      <c r="B40" s="502" t="s">
        <v>209</v>
      </c>
      <c r="C40" s="503"/>
      <c r="D40" s="502" t="s">
        <v>379</v>
      </c>
      <c r="E40" s="504"/>
      <c r="F40" s="206"/>
      <c r="G40" s="483" t="s">
        <v>380</v>
      </c>
      <c r="H40" s="485"/>
      <c r="I40" s="502" t="s">
        <v>413</v>
      </c>
      <c r="J40" s="505"/>
      <c r="K40" s="504"/>
      <c r="L40" s="483" t="s">
        <v>381</v>
      </c>
      <c r="M40" s="484"/>
      <c r="N40" s="40"/>
      <c r="O40" s="40"/>
      <c r="P40" s="40"/>
      <c r="Q40" s="40"/>
    </row>
    <row r="41" spans="1:26" ht="196.5" customHeight="1">
      <c r="A41" s="404"/>
      <c r="B41" s="204" t="s">
        <v>56</v>
      </c>
      <c r="C41" s="204" t="s">
        <v>364</v>
      </c>
      <c r="D41" s="202" t="s">
        <v>210</v>
      </c>
      <c r="E41" s="202" t="s">
        <v>211</v>
      </c>
      <c r="F41" s="202"/>
      <c r="G41" s="202" t="s">
        <v>210</v>
      </c>
      <c r="H41" s="202" t="s">
        <v>211</v>
      </c>
      <c r="I41" s="284" t="s">
        <v>210</v>
      </c>
      <c r="J41" s="284" t="s">
        <v>211</v>
      </c>
      <c r="K41" s="284" t="s">
        <v>211</v>
      </c>
      <c r="L41" s="202" t="s">
        <v>210</v>
      </c>
      <c r="M41" s="205" t="s">
        <v>211</v>
      </c>
      <c r="N41" s="40"/>
      <c r="O41" s="40"/>
      <c r="P41" s="40"/>
      <c r="Q41" s="40"/>
    </row>
    <row r="42" spans="1:26" ht="18" customHeight="1">
      <c r="A42" s="7">
        <v>1</v>
      </c>
      <c r="B42" s="7">
        <v>2</v>
      </c>
      <c r="C42" s="7">
        <v>3</v>
      </c>
      <c r="D42" s="7">
        <v>4</v>
      </c>
      <c r="E42" s="7">
        <v>5</v>
      </c>
      <c r="F42" s="7"/>
      <c r="G42" s="7">
        <v>6</v>
      </c>
      <c r="H42" s="7">
        <v>7</v>
      </c>
      <c r="I42" s="7">
        <v>8</v>
      </c>
      <c r="J42" s="7">
        <v>9</v>
      </c>
      <c r="K42" s="7">
        <v>9</v>
      </c>
      <c r="L42" s="7">
        <v>10</v>
      </c>
      <c r="M42" s="7">
        <v>11</v>
      </c>
      <c r="N42" s="21"/>
      <c r="O42" s="21"/>
      <c r="P42" s="21"/>
      <c r="Q42" s="21"/>
      <c r="Z42" s="22"/>
    </row>
    <row r="43" spans="1:26" ht="20.100000000000001" customHeight="1">
      <c r="A43" s="201" t="s">
        <v>289</v>
      </c>
      <c r="B43" s="10">
        <v>100</v>
      </c>
      <c r="C43" s="10">
        <v>100</v>
      </c>
      <c r="D43" s="258">
        <f>'1.Фінансовий результат'!C13</f>
        <v>15485.199999999999</v>
      </c>
      <c r="E43" s="10"/>
      <c r="F43" s="10"/>
      <c r="G43" s="10">
        <f>'1.Фінансовий результат'!D13</f>
        <v>15217</v>
      </c>
      <c r="H43" s="55"/>
      <c r="I43" s="289">
        <f>'[39]1.Фінансовий результат'!$D$13</f>
        <v>8705.4000000000015</v>
      </c>
      <c r="J43" s="55"/>
      <c r="K43" s="55"/>
      <c r="L43" s="10">
        <f>'1.Фінансовий результат'!F13</f>
        <v>21846.350000000002</v>
      </c>
      <c r="M43" s="55"/>
      <c r="N43" s="68"/>
      <c r="O43" s="68"/>
      <c r="P43" s="352">
        <f>I43*4</f>
        <v>34821.600000000006</v>
      </c>
      <c r="Q43" s="68"/>
    </row>
    <row r="44" spans="1:26" ht="20.100000000000001" customHeight="1">
      <c r="A44" s="8"/>
      <c r="B44" s="10"/>
      <c r="C44" s="10"/>
      <c r="D44" s="212"/>
      <c r="E44" s="10"/>
      <c r="F44" s="10"/>
      <c r="G44" s="10"/>
      <c r="H44" s="285"/>
      <c r="I44" s="212"/>
      <c r="J44" s="55"/>
      <c r="K44" s="55"/>
      <c r="L44" s="10"/>
      <c r="M44" s="55"/>
      <c r="N44" s="68"/>
      <c r="O44" s="68"/>
      <c r="P44" s="68"/>
      <c r="Q44" s="68"/>
    </row>
    <row r="45" spans="1:26" ht="20.100000000000001" customHeight="1">
      <c r="A45" s="8" t="s">
        <v>40</v>
      </c>
      <c r="B45" s="79">
        <v>100</v>
      </c>
      <c r="C45" s="79">
        <f>C43</f>
        <v>100</v>
      </c>
      <c r="D45" s="79">
        <f>D43</f>
        <v>15485.199999999999</v>
      </c>
      <c r="E45" s="79"/>
      <c r="F45" s="79"/>
      <c r="G45" s="79">
        <f>G43</f>
        <v>15217</v>
      </c>
      <c r="H45" s="56"/>
      <c r="I45" s="288">
        <f>I43</f>
        <v>8705.4000000000015</v>
      </c>
      <c r="J45" s="56"/>
      <c r="K45" s="56"/>
      <c r="L45" s="79">
        <f>L43</f>
        <v>21846.350000000002</v>
      </c>
      <c r="M45" s="56"/>
      <c r="N45" s="69"/>
      <c r="O45" s="69"/>
      <c r="P45" s="69"/>
      <c r="Q45" s="69"/>
    </row>
    <row r="46" spans="1:26" ht="20.100000000000001" customHeight="1">
      <c r="A46" s="18"/>
      <c r="B46" s="19"/>
      <c r="C46" s="19"/>
      <c r="D46" s="265"/>
      <c r="E46" s="19"/>
      <c r="F46" s="19"/>
      <c r="G46" s="19"/>
      <c r="H46" s="19"/>
      <c r="I46" s="11"/>
      <c r="J46" s="11"/>
      <c r="K46" s="11"/>
      <c r="L46" s="5"/>
      <c r="M46" s="5"/>
      <c r="N46" s="5"/>
      <c r="O46" s="5"/>
      <c r="P46" s="5"/>
      <c r="Q46" s="5"/>
    </row>
    <row r="47" spans="1:26" ht="21.95" customHeight="1">
      <c r="A47" s="5" t="s">
        <v>228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26" ht="81.75" customHeight="1">
      <c r="A48" s="7" t="s">
        <v>102</v>
      </c>
      <c r="B48" s="459" t="s">
        <v>54</v>
      </c>
      <c r="C48" s="463"/>
      <c r="D48" s="171"/>
      <c r="E48" s="7" t="s">
        <v>231</v>
      </c>
      <c r="F48" s="7"/>
      <c r="G48" s="7" t="s">
        <v>51</v>
      </c>
      <c r="H48" s="7" t="s">
        <v>212</v>
      </c>
      <c r="I48" s="7" t="s">
        <v>68</v>
      </c>
      <c r="J48" s="459" t="s">
        <v>19</v>
      </c>
      <c r="K48" s="460"/>
      <c r="L48" s="462"/>
      <c r="M48" s="463"/>
      <c r="N48" s="40"/>
      <c r="O48" s="40"/>
      <c r="P48" s="40"/>
      <c r="Q48" s="40"/>
    </row>
    <row r="49" spans="1:17" ht="18" customHeight="1">
      <c r="A49" s="6">
        <v>1</v>
      </c>
      <c r="B49" s="459">
        <v>2</v>
      </c>
      <c r="C49" s="463"/>
      <c r="D49" s="171"/>
      <c r="E49" s="6">
        <v>3</v>
      </c>
      <c r="F49" s="6"/>
      <c r="G49" s="6">
        <v>4</v>
      </c>
      <c r="H49" s="6">
        <v>5</v>
      </c>
      <c r="I49" s="61">
        <v>6</v>
      </c>
      <c r="J49" s="459">
        <v>7</v>
      </c>
      <c r="K49" s="460"/>
      <c r="L49" s="462"/>
      <c r="M49" s="488"/>
      <c r="N49" s="21"/>
      <c r="O49" s="21"/>
      <c r="P49" s="21"/>
      <c r="Q49" s="21"/>
    </row>
    <row r="50" spans="1:17" ht="20.100000000000001" customHeight="1">
      <c r="A50" s="8"/>
      <c r="B50" s="474"/>
      <c r="C50" s="463"/>
      <c r="D50" s="171"/>
      <c r="E50" s="55"/>
      <c r="F50" s="55"/>
      <c r="G50" s="55"/>
      <c r="H50" s="55"/>
      <c r="I50" s="10"/>
      <c r="J50" s="459"/>
      <c r="K50" s="460"/>
      <c r="L50" s="462"/>
      <c r="M50" s="463"/>
      <c r="N50" s="68"/>
      <c r="O50" s="68"/>
      <c r="P50" s="68"/>
      <c r="Q50" s="68"/>
    </row>
    <row r="51" spans="1:17" ht="20.100000000000001" customHeight="1">
      <c r="A51" s="8"/>
      <c r="B51" s="474"/>
      <c r="C51" s="463"/>
      <c r="D51" s="171"/>
      <c r="E51" s="62"/>
      <c r="F51" s="62"/>
      <c r="G51" s="55"/>
      <c r="H51" s="62"/>
      <c r="I51" s="63"/>
      <c r="J51" s="459"/>
      <c r="K51" s="460"/>
      <c r="L51" s="462"/>
      <c r="M51" s="463"/>
      <c r="N51" s="68"/>
      <c r="O51" s="68"/>
      <c r="P51" s="68"/>
      <c r="Q51" s="68"/>
    </row>
    <row r="52" spans="1:17" ht="20.100000000000001" customHeight="1">
      <c r="A52" s="8"/>
      <c r="B52" s="474"/>
      <c r="C52" s="463"/>
      <c r="D52" s="171"/>
      <c r="E52" s="55"/>
      <c r="F52" s="55"/>
      <c r="G52" s="55"/>
      <c r="H52" s="55"/>
      <c r="I52" s="10"/>
      <c r="J52" s="459"/>
      <c r="K52" s="460"/>
      <c r="L52" s="462"/>
      <c r="M52" s="463"/>
      <c r="N52" s="68"/>
      <c r="O52" s="68"/>
      <c r="P52" s="68"/>
      <c r="Q52" s="68"/>
    </row>
    <row r="53" spans="1:17" ht="20.100000000000001" customHeight="1">
      <c r="A53" s="8" t="s">
        <v>40</v>
      </c>
      <c r="B53" s="459" t="s">
        <v>20</v>
      </c>
      <c r="C53" s="463"/>
      <c r="D53" s="171"/>
      <c r="E53" s="7"/>
      <c r="F53" s="7"/>
      <c r="G53" s="7" t="s">
        <v>20</v>
      </c>
      <c r="H53" s="7" t="s">
        <v>20</v>
      </c>
      <c r="I53" s="7"/>
      <c r="J53" s="459" t="s">
        <v>20</v>
      </c>
      <c r="K53" s="460"/>
      <c r="L53" s="462"/>
      <c r="M53" s="463"/>
      <c r="N53" s="68"/>
      <c r="O53" s="68"/>
      <c r="P53" s="68"/>
      <c r="Q53" s="68"/>
    </row>
    <row r="54" spans="1:17" ht="20.100000000000001" customHeight="1">
      <c r="A54" s="1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3"/>
      <c r="N54" s="3"/>
      <c r="O54" s="3"/>
      <c r="P54" s="3"/>
      <c r="Q54" s="3"/>
    </row>
    <row r="55" spans="1:17" ht="21.95" customHeight="1">
      <c r="A55" s="5" t="s">
        <v>229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 ht="20.100000000000001" customHeight="1">
      <c r="A56" s="5"/>
      <c r="B56" s="15"/>
      <c r="C56" s="15"/>
      <c r="D56" s="15"/>
      <c r="E56" s="5"/>
      <c r="F56" s="5"/>
      <c r="G56" s="5"/>
      <c r="H56" s="5"/>
      <c r="I56" s="5"/>
      <c r="J56" s="5"/>
      <c r="K56" s="5"/>
    </row>
    <row r="57" spans="1:17" ht="57.75" customHeight="1">
      <c r="A57" s="202" t="s">
        <v>50</v>
      </c>
      <c r="B57" s="502" t="s">
        <v>368</v>
      </c>
      <c r="C57" s="505"/>
      <c r="D57" s="504"/>
      <c r="E57" s="464" t="s">
        <v>221</v>
      </c>
      <c r="F57" s="481"/>
      <c r="G57" s="466"/>
      <c r="H57" s="482" t="s">
        <v>220</v>
      </c>
      <c r="I57" s="482"/>
      <c r="J57" s="464" t="s">
        <v>69</v>
      </c>
      <c r="K57" s="481"/>
      <c r="L57" s="465"/>
      <c r="M57" s="466"/>
      <c r="N57" s="40"/>
      <c r="O57" s="40"/>
      <c r="P57" s="40"/>
      <c r="Q57" s="40"/>
    </row>
    <row r="58" spans="1:17" ht="18" customHeight="1">
      <c r="A58" s="7">
        <v>1</v>
      </c>
      <c r="B58" s="459">
        <v>2</v>
      </c>
      <c r="C58" s="462"/>
      <c r="D58" s="97"/>
      <c r="E58" s="459">
        <v>3</v>
      </c>
      <c r="F58" s="460"/>
      <c r="G58" s="463"/>
      <c r="H58" s="512">
        <v>4</v>
      </c>
      <c r="I58" s="513"/>
      <c r="J58" s="459">
        <v>5</v>
      </c>
      <c r="K58" s="460"/>
      <c r="L58" s="487"/>
      <c r="M58" s="488"/>
      <c r="N58" s="21"/>
      <c r="O58" s="21"/>
      <c r="P58" s="21"/>
      <c r="Q58" s="21"/>
    </row>
    <row r="59" spans="1:17" ht="37.5" customHeight="1">
      <c r="A59" s="8" t="s">
        <v>213</v>
      </c>
      <c r="B59" s="425"/>
      <c r="C59" s="506"/>
      <c r="D59" s="174"/>
      <c r="E59" s="98"/>
      <c r="F59" s="131"/>
      <c r="G59" s="62"/>
      <c r="H59" s="101"/>
      <c r="I59" s="62"/>
      <c r="J59" s="99"/>
      <c r="K59" s="182"/>
      <c r="L59" s="97"/>
      <c r="M59" s="102"/>
      <c r="N59" s="68"/>
      <c r="O59" s="68"/>
      <c r="P59" s="68"/>
      <c r="Q59" s="68"/>
    </row>
    <row r="60" spans="1:17" ht="20.100000000000001" customHeight="1">
      <c r="A60" s="8" t="s">
        <v>82</v>
      </c>
      <c r="B60" s="425"/>
      <c r="C60" s="506"/>
      <c r="D60" s="174"/>
      <c r="E60" s="98"/>
      <c r="F60" s="131"/>
      <c r="G60" s="62"/>
      <c r="H60" s="101"/>
      <c r="I60" s="62"/>
      <c r="J60" s="99"/>
      <c r="K60" s="182"/>
      <c r="L60" s="97"/>
      <c r="M60" s="102"/>
      <c r="N60" s="68"/>
      <c r="O60" s="68"/>
      <c r="P60" s="68"/>
      <c r="Q60" s="68"/>
    </row>
    <row r="61" spans="1:17" ht="20.100000000000001" customHeight="1">
      <c r="A61" s="8"/>
      <c r="B61" s="425"/>
      <c r="C61" s="506"/>
      <c r="D61" s="174"/>
      <c r="E61" s="98"/>
      <c r="F61" s="131"/>
      <c r="G61" s="62"/>
      <c r="H61" s="101"/>
      <c r="I61" s="62"/>
      <c r="J61" s="99"/>
      <c r="K61" s="182"/>
      <c r="L61" s="97"/>
      <c r="M61" s="102"/>
      <c r="N61" s="68"/>
      <c r="O61" s="68"/>
      <c r="P61" s="68"/>
      <c r="Q61" s="68"/>
    </row>
    <row r="62" spans="1:17" ht="39" customHeight="1">
      <c r="A62" s="8" t="s">
        <v>214</v>
      </c>
      <c r="B62" s="425"/>
      <c r="C62" s="506"/>
      <c r="D62" s="174"/>
      <c r="E62" s="98"/>
      <c r="F62" s="131"/>
      <c r="G62" s="62"/>
      <c r="H62" s="101"/>
      <c r="I62" s="62"/>
      <c r="J62" s="99"/>
      <c r="K62" s="182"/>
      <c r="L62" s="97"/>
      <c r="M62" s="102"/>
      <c r="N62" s="68"/>
      <c r="O62" s="68"/>
      <c r="P62" s="68"/>
      <c r="Q62" s="68"/>
    </row>
    <row r="63" spans="1:17" ht="20.100000000000001" customHeight="1">
      <c r="A63" s="8" t="s">
        <v>83</v>
      </c>
      <c r="B63" s="425"/>
      <c r="C63" s="506"/>
      <c r="D63" s="174"/>
      <c r="E63" s="98"/>
      <c r="F63" s="131"/>
      <c r="G63" s="62"/>
      <c r="H63" s="101"/>
      <c r="I63" s="62"/>
      <c r="J63" s="99"/>
      <c r="K63" s="182"/>
      <c r="L63" s="97"/>
      <c r="M63" s="102"/>
      <c r="N63" s="68"/>
      <c r="O63" s="68"/>
      <c r="P63" s="68"/>
      <c r="Q63" s="68"/>
    </row>
    <row r="64" spans="1:17" ht="20.100000000000001" customHeight="1">
      <c r="A64" s="8"/>
      <c r="B64" s="425"/>
      <c r="C64" s="506"/>
      <c r="D64" s="174"/>
      <c r="E64" s="98"/>
      <c r="F64" s="131"/>
      <c r="G64" s="62"/>
      <c r="H64" s="101"/>
      <c r="I64" s="62"/>
      <c r="J64" s="99"/>
      <c r="K64" s="182"/>
      <c r="L64" s="97"/>
      <c r="M64" s="102"/>
      <c r="N64" s="68"/>
      <c r="O64" s="68"/>
      <c r="P64" s="68"/>
      <c r="Q64" s="68"/>
    </row>
    <row r="65" spans="1:36" ht="43.5" customHeight="1">
      <c r="A65" s="8" t="s">
        <v>215</v>
      </c>
      <c r="B65" s="425"/>
      <c r="C65" s="506"/>
      <c r="D65" s="174"/>
      <c r="E65" s="98"/>
      <c r="F65" s="131"/>
      <c r="G65" s="62"/>
      <c r="H65" s="101"/>
      <c r="I65" s="62"/>
      <c r="J65" s="99"/>
      <c r="K65" s="182"/>
      <c r="L65" s="97"/>
      <c r="M65" s="102"/>
      <c r="N65" s="68"/>
      <c r="O65" s="68"/>
      <c r="P65" s="68"/>
      <c r="Q65" s="68"/>
    </row>
    <row r="66" spans="1:36" ht="20.100000000000001" customHeight="1">
      <c r="A66" s="8" t="s">
        <v>82</v>
      </c>
      <c r="B66" s="425"/>
      <c r="C66" s="506"/>
      <c r="D66" s="174"/>
      <c r="E66" s="98"/>
      <c r="F66" s="131"/>
      <c r="G66" s="62"/>
      <c r="H66" s="101"/>
      <c r="I66" s="62"/>
      <c r="J66" s="99"/>
      <c r="K66" s="182"/>
      <c r="L66" s="97"/>
      <c r="M66" s="102"/>
      <c r="N66" s="68"/>
      <c r="O66" s="68"/>
      <c r="P66" s="68"/>
      <c r="Q66" s="68"/>
    </row>
    <row r="67" spans="1:36" ht="20.100000000000001" customHeight="1">
      <c r="A67" s="8"/>
      <c r="B67" s="425"/>
      <c r="C67" s="506"/>
      <c r="D67" s="174"/>
      <c r="E67" s="98"/>
      <c r="F67" s="131"/>
      <c r="G67" s="62"/>
      <c r="H67" s="101"/>
      <c r="I67" s="62"/>
      <c r="J67" s="99"/>
      <c r="K67" s="182"/>
      <c r="L67" s="97"/>
      <c r="M67" s="102"/>
      <c r="N67" s="68"/>
      <c r="O67" s="68"/>
      <c r="P67" s="68"/>
      <c r="Q67" s="68"/>
    </row>
    <row r="68" spans="1:36" ht="20.100000000000001" customHeight="1">
      <c r="A68" s="8" t="s">
        <v>40</v>
      </c>
      <c r="B68" s="425"/>
      <c r="C68" s="506"/>
      <c r="D68" s="174"/>
      <c r="E68" s="98"/>
      <c r="F68" s="131"/>
      <c r="G68" s="100"/>
      <c r="H68" s="101"/>
      <c r="I68" s="100"/>
      <c r="J68" s="103"/>
      <c r="K68" s="185"/>
      <c r="L68" s="97"/>
      <c r="M68" s="102"/>
      <c r="N68" s="68"/>
      <c r="O68" s="68"/>
      <c r="P68" s="68"/>
      <c r="Q68" s="68"/>
    </row>
    <row r="69" spans="1:36">
      <c r="E69" s="27"/>
      <c r="F69" s="27"/>
      <c r="G69" s="27"/>
      <c r="H69" s="27"/>
    </row>
    <row r="70" spans="1:36">
      <c r="A70" s="433" t="s">
        <v>247</v>
      </c>
      <c r="B70" s="433"/>
      <c r="C70" s="433"/>
      <c r="D70" s="433"/>
      <c r="E70" s="433"/>
      <c r="F70" s="433"/>
      <c r="G70" s="433"/>
      <c r="H70" s="433"/>
      <c r="I70" s="433"/>
      <c r="J70" s="433"/>
      <c r="K70" s="433"/>
      <c r="L70" s="433"/>
      <c r="M70" s="433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</row>
    <row r="71" spans="1:36" ht="18.75" customHeight="1">
      <c r="A71" s="507" t="s">
        <v>35</v>
      </c>
      <c r="B71" s="445" t="s">
        <v>148</v>
      </c>
      <c r="C71" s="446"/>
      <c r="D71" s="179"/>
      <c r="E71" s="401" t="s">
        <v>149</v>
      </c>
      <c r="F71" s="401" t="s">
        <v>292</v>
      </c>
      <c r="G71" s="427" t="s">
        <v>291</v>
      </c>
      <c r="H71" s="428"/>
      <c r="I71" s="509" t="s">
        <v>232</v>
      </c>
      <c r="J71" s="510"/>
      <c r="K71" s="510"/>
      <c r="L71" s="510"/>
      <c r="M71" s="510"/>
      <c r="N71" s="511"/>
      <c r="O71" s="40"/>
      <c r="P71" s="40"/>
      <c r="Q71" s="40"/>
      <c r="R71" s="40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</row>
    <row r="72" spans="1:36" ht="57" customHeight="1">
      <c r="A72" s="508"/>
      <c r="B72" s="447"/>
      <c r="C72" s="448"/>
      <c r="D72" s="180"/>
      <c r="E72" s="402"/>
      <c r="F72" s="402"/>
      <c r="G72" s="429"/>
      <c r="H72" s="430"/>
      <c r="I72" s="256" t="s">
        <v>150</v>
      </c>
      <c r="J72" s="514" t="s">
        <v>406</v>
      </c>
      <c r="K72" s="515"/>
      <c r="L72" s="263" t="s">
        <v>24</v>
      </c>
      <c r="M72" s="255" t="s">
        <v>151</v>
      </c>
      <c r="N72" s="264" t="s">
        <v>152</v>
      </c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21"/>
      <c r="AB72" s="21"/>
      <c r="AC72" s="21"/>
      <c r="AD72" s="21"/>
      <c r="AE72" s="21"/>
    </row>
    <row r="73" spans="1:36" ht="48" customHeight="1">
      <c r="A73" s="66" t="s">
        <v>388</v>
      </c>
      <c r="B73" s="434" t="s">
        <v>322</v>
      </c>
      <c r="C73" s="435"/>
      <c r="D73" s="173"/>
      <c r="E73" s="64" t="s">
        <v>321</v>
      </c>
      <c r="F73" s="64" t="s">
        <v>290</v>
      </c>
      <c r="G73" s="431" t="e">
        <f>I73+J73+L73+M73+N73</f>
        <v>#REF!</v>
      </c>
      <c r="H73" s="432"/>
      <c r="I73" s="287">
        <v>203</v>
      </c>
      <c r="J73" s="454" t="e">
        <f>#REF!/1000</f>
        <v>#REF!</v>
      </c>
      <c r="K73" s="454"/>
      <c r="L73" s="286" t="e">
        <f>J73*0.22</f>
        <v>#REF!</v>
      </c>
      <c r="M73" s="286">
        <v>0</v>
      </c>
      <c r="N73" s="266"/>
      <c r="O73" s="68"/>
      <c r="P73" s="68"/>
      <c r="Q73" s="68">
        <f>'[40]5. Інша інформація'!$G$63*4*1.082</f>
        <v>202.98320000000001</v>
      </c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</row>
    <row r="74" spans="1:36">
      <c r="A74" s="20"/>
      <c r="B74" s="150"/>
      <c r="C74" s="151"/>
      <c r="D74" s="151"/>
      <c r="E74" s="70"/>
      <c r="F74" s="70"/>
      <c r="G74" s="152"/>
      <c r="H74" s="153"/>
      <c r="I74" s="154"/>
      <c r="J74" s="154"/>
      <c r="K74" s="154"/>
      <c r="L74" s="154"/>
      <c r="M74" s="154"/>
      <c r="N74" s="71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J74" s="4"/>
    </row>
    <row r="75" spans="1:36">
      <c r="A75" s="433" t="s">
        <v>248</v>
      </c>
      <c r="B75" s="433"/>
      <c r="C75" s="433"/>
      <c r="D75" s="433"/>
      <c r="E75" s="433"/>
      <c r="F75" s="433"/>
      <c r="G75" s="433"/>
      <c r="H75" s="433"/>
      <c r="I75" s="433"/>
      <c r="J75" s="433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</row>
    <row r="76" spans="1:36" ht="18.75" customHeight="1">
      <c r="A76" s="451" t="s">
        <v>35</v>
      </c>
      <c r="B76" s="439" t="s">
        <v>153</v>
      </c>
      <c r="C76" s="440"/>
      <c r="D76" s="175"/>
      <c r="E76" s="436" t="s">
        <v>148</v>
      </c>
      <c r="F76" s="436" t="s">
        <v>219</v>
      </c>
      <c r="G76" s="436" t="s">
        <v>291</v>
      </c>
      <c r="H76" s="436" t="s">
        <v>154</v>
      </c>
      <c r="I76" s="459" t="s">
        <v>155</v>
      </c>
      <c r="J76" s="460"/>
      <c r="K76" s="460"/>
      <c r="L76" s="460"/>
      <c r="M76" s="460"/>
      <c r="N76" s="461"/>
      <c r="O76" s="40"/>
      <c r="P76" s="40"/>
      <c r="Q76" s="40"/>
      <c r="R76" s="40"/>
      <c r="S76" s="40"/>
      <c r="T76" s="40"/>
      <c r="U76" s="40"/>
      <c r="V76" s="40"/>
      <c r="W76" s="40"/>
      <c r="X76" s="21"/>
      <c r="Y76" s="21"/>
      <c r="Z76" s="21"/>
      <c r="AA76" s="21"/>
      <c r="AB76" s="21"/>
      <c r="AC76" s="21"/>
      <c r="AD76" s="21"/>
      <c r="AE76" s="21"/>
    </row>
    <row r="77" spans="1:36" ht="18.75" customHeight="1">
      <c r="A77" s="452"/>
      <c r="B77" s="441"/>
      <c r="C77" s="442"/>
      <c r="D77" s="176"/>
      <c r="E77" s="437"/>
      <c r="F77" s="437"/>
      <c r="G77" s="437"/>
      <c r="H77" s="437"/>
      <c r="I77" s="436" t="s">
        <v>156</v>
      </c>
      <c r="J77" s="459" t="s">
        <v>78</v>
      </c>
      <c r="K77" s="460"/>
      <c r="L77" s="460"/>
      <c r="M77" s="460"/>
      <c r="N77" s="461"/>
      <c r="O77" s="40"/>
      <c r="P77" s="40"/>
      <c r="Q77" s="40"/>
      <c r="R77" s="40"/>
      <c r="S77" s="40"/>
      <c r="T77" s="40"/>
      <c r="U77" s="40"/>
      <c r="V77" s="40"/>
      <c r="W77" s="40"/>
      <c r="X77" s="21"/>
      <c r="Y77" s="21"/>
      <c r="Z77" s="21"/>
      <c r="AA77" s="21"/>
      <c r="AB77" s="21"/>
      <c r="AC77" s="21"/>
      <c r="AD77" s="21"/>
      <c r="AE77" s="21"/>
    </row>
    <row r="78" spans="1:36" ht="18" customHeight="1">
      <c r="A78" s="453"/>
      <c r="B78" s="443"/>
      <c r="C78" s="444"/>
      <c r="D78" s="177"/>
      <c r="E78" s="438"/>
      <c r="F78" s="438"/>
      <c r="G78" s="438"/>
      <c r="H78" s="438"/>
      <c r="I78" s="438"/>
      <c r="J78" s="7" t="s">
        <v>233</v>
      </c>
      <c r="K78" s="7"/>
      <c r="L78" s="7" t="s">
        <v>234</v>
      </c>
      <c r="M78" s="7" t="s">
        <v>235</v>
      </c>
      <c r="N78" s="7" t="s">
        <v>236</v>
      </c>
      <c r="O78" s="40"/>
      <c r="P78" s="40"/>
      <c r="Q78" s="40"/>
      <c r="R78" s="40"/>
      <c r="S78" s="40"/>
      <c r="T78" s="40"/>
      <c r="U78" s="40"/>
      <c r="V78" s="40"/>
      <c r="W78" s="40"/>
      <c r="X78" s="21"/>
      <c r="Y78" s="21"/>
      <c r="Z78" s="21"/>
      <c r="AA78" s="21"/>
      <c r="AB78" s="21"/>
      <c r="AC78" s="21"/>
      <c r="AD78" s="21"/>
      <c r="AE78" s="21"/>
    </row>
    <row r="79" spans="1:36">
      <c r="A79" s="45">
        <v>1</v>
      </c>
      <c r="B79" s="434">
        <v>2</v>
      </c>
      <c r="C79" s="435"/>
      <c r="D79" s="173"/>
      <c r="E79" s="64">
        <v>3</v>
      </c>
      <c r="F79" s="64"/>
      <c r="G79" s="64">
        <v>4</v>
      </c>
      <c r="H79" s="64">
        <v>5</v>
      </c>
      <c r="I79" s="64">
        <v>6</v>
      </c>
      <c r="J79" s="64">
        <v>7</v>
      </c>
      <c r="K79" s="64"/>
      <c r="L79" s="64">
        <v>8</v>
      </c>
      <c r="M79" s="64">
        <v>9</v>
      </c>
      <c r="N79" s="64">
        <v>10</v>
      </c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49"/>
      <c r="AA79" s="49"/>
      <c r="AB79" s="49"/>
      <c r="AC79" s="49"/>
      <c r="AD79" s="49"/>
      <c r="AE79" s="49"/>
    </row>
    <row r="80" spans="1:36">
      <c r="A80" s="66" t="s">
        <v>40</v>
      </c>
      <c r="B80" s="449"/>
      <c r="C80" s="450"/>
      <c r="D80" s="178"/>
      <c r="E80" s="66"/>
      <c r="F80" s="66"/>
      <c r="G80" s="66"/>
      <c r="H80" s="66"/>
      <c r="I80" s="82">
        <v>0</v>
      </c>
      <c r="J80" s="66"/>
      <c r="K80" s="66"/>
      <c r="L80" s="66"/>
      <c r="M80" s="66"/>
      <c r="N80" s="66"/>
      <c r="O80" s="20"/>
      <c r="P80" s="20"/>
      <c r="Q80" s="20"/>
      <c r="R80" s="20"/>
      <c r="S80" s="20"/>
      <c r="T80" s="20"/>
      <c r="U80" s="20"/>
      <c r="V80" s="20"/>
      <c r="W80" s="20"/>
      <c r="X80" s="68"/>
      <c r="Y80" s="68"/>
      <c r="Z80" s="68"/>
      <c r="AA80" s="68"/>
      <c r="AB80" s="68"/>
      <c r="AC80" s="68"/>
      <c r="AD80" s="68"/>
      <c r="AE80" s="68"/>
    </row>
    <row r="81" spans="1:35">
      <c r="A81" s="433" t="s">
        <v>230</v>
      </c>
      <c r="B81" s="433"/>
      <c r="C81" s="433"/>
      <c r="D81" s="433"/>
      <c r="E81" s="433"/>
      <c r="F81" s="433"/>
      <c r="G81" s="433"/>
      <c r="H81" s="433"/>
      <c r="I81" s="22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22"/>
      <c r="Y81" s="486" t="s">
        <v>173</v>
      </c>
      <c r="Z81" s="486"/>
      <c r="AA81" s="486"/>
      <c r="AB81" s="486"/>
      <c r="AC81" s="486"/>
      <c r="AD81" s="486"/>
      <c r="AE81" s="486"/>
    </row>
    <row r="82" spans="1:35" ht="18.75" customHeight="1">
      <c r="A82" s="404" t="s">
        <v>35</v>
      </c>
      <c r="B82" s="492" t="s">
        <v>174</v>
      </c>
      <c r="C82" s="493"/>
      <c r="D82" s="101"/>
      <c r="E82" s="460" t="s">
        <v>39</v>
      </c>
      <c r="F82" s="460"/>
      <c r="G82" s="460"/>
      <c r="H82" s="460"/>
      <c r="I82" s="460"/>
      <c r="J82" s="461"/>
      <c r="K82" s="181"/>
      <c r="L82" s="459" t="s">
        <v>70</v>
      </c>
      <c r="M82" s="460"/>
      <c r="N82" s="460"/>
      <c r="O82" s="460"/>
      <c r="P82" s="461"/>
      <c r="Q82" s="459" t="s">
        <v>194</v>
      </c>
      <c r="R82" s="460"/>
      <c r="S82" s="460"/>
      <c r="T82" s="460"/>
      <c r="U82" s="461"/>
      <c r="V82" s="459" t="s">
        <v>103</v>
      </c>
      <c r="W82" s="460"/>
      <c r="X82" s="460"/>
      <c r="Y82" s="460"/>
      <c r="Z82" s="461"/>
      <c r="AA82" s="404" t="s">
        <v>40</v>
      </c>
      <c r="AB82" s="404"/>
      <c r="AC82" s="404"/>
      <c r="AD82" s="404"/>
      <c r="AE82" s="404"/>
    </row>
    <row r="83" spans="1:35" ht="18.75" customHeight="1">
      <c r="A83" s="404"/>
      <c r="B83" s="498"/>
      <c r="C83" s="495"/>
      <c r="D83" s="436" t="s">
        <v>107</v>
      </c>
      <c r="E83" s="404" t="s">
        <v>78</v>
      </c>
      <c r="F83" s="404"/>
      <c r="G83" s="404"/>
      <c r="H83" s="404"/>
      <c r="I83" s="404"/>
      <c r="J83" s="404"/>
      <c r="K83" s="404"/>
      <c r="L83" s="436" t="s">
        <v>107</v>
      </c>
      <c r="M83" s="459" t="s">
        <v>78</v>
      </c>
      <c r="N83" s="462"/>
      <c r="O83" s="462"/>
      <c r="P83" s="463"/>
      <c r="Q83" s="436" t="s">
        <v>320</v>
      </c>
      <c r="R83" s="459" t="s">
        <v>78</v>
      </c>
      <c r="S83" s="460"/>
      <c r="T83" s="460"/>
      <c r="U83" s="461"/>
      <c r="V83" s="436" t="s">
        <v>318</v>
      </c>
      <c r="W83" s="459" t="s">
        <v>319</v>
      </c>
      <c r="X83" s="460"/>
      <c r="Y83" s="460"/>
      <c r="Z83" s="461"/>
      <c r="AA83" s="404" t="s">
        <v>320</v>
      </c>
      <c r="AB83" s="404" t="s">
        <v>319</v>
      </c>
      <c r="AC83" s="404"/>
      <c r="AD83" s="404"/>
      <c r="AE83" s="404"/>
    </row>
    <row r="84" spans="1:35">
      <c r="A84" s="404"/>
      <c r="B84" s="499"/>
      <c r="C84" s="497"/>
      <c r="D84" s="438"/>
      <c r="E84" s="273" t="s">
        <v>237</v>
      </c>
      <c r="F84" s="130"/>
      <c r="G84" s="459" t="s">
        <v>234</v>
      </c>
      <c r="H84" s="461"/>
      <c r="I84" s="96" t="s">
        <v>235</v>
      </c>
      <c r="J84" s="273" t="s">
        <v>236</v>
      </c>
      <c r="K84" s="96" t="s">
        <v>236</v>
      </c>
      <c r="L84" s="458"/>
      <c r="M84" s="7" t="s">
        <v>237</v>
      </c>
      <c r="N84" s="7" t="s">
        <v>234</v>
      </c>
      <c r="O84" s="7" t="s">
        <v>235</v>
      </c>
      <c r="P84" s="7" t="s">
        <v>236</v>
      </c>
      <c r="Q84" s="458"/>
      <c r="R84" s="7" t="s">
        <v>58</v>
      </c>
      <c r="S84" s="7" t="s">
        <v>59</v>
      </c>
      <c r="T84" s="7" t="s">
        <v>57</v>
      </c>
      <c r="U84" s="7" t="s">
        <v>55</v>
      </c>
      <c r="V84" s="458"/>
      <c r="W84" s="7" t="s">
        <v>58</v>
      </c>
      <c r="X84" s="7" t="s">
        <v>59</v>
      </c>
      <c r="Y84" s="7" t="s">
        <v>57</v>
      </c>
      <c r="Z84" s="7" t="s">
        <v>55</v>
      </c>
      <c r="AA84" s="404"/>
      <c r="AB84" s="7" t="s">
        <v>58</v>
      </c>
      <c r="AC84" s="7" t="s">
        <v>59</v>
      </c>
      <c r="AD84" s="7" t="s">
        <v>57</v>
      </c>
      <c r="AE84" s="7" t="s">
        <v>55</v>
      </c>
    </row>
    <row r="85" spans="1:35">
      <c r="A85" s="7">
        <v>1</v>
      </c>
      <c r="B85" s="459">
        <v>2</v>
      </c>
      <c r="C85" s="463"/>
      <c r="D85" s="186">
        <v>3</v>
      </c>
      <c r="E85" s="7">
        <v>4</v>
      </c>
      <c r="F85" s="7"/>
      <c r="G85" s="459">
        <v>5</v>
      </c>
      <c r="H85" s="461"/>
      <c r="I85" s="7">
        <v>6</v>
      </c>
      <c r="J85" s="7">
        <v>7</v>
      </c>
      <c r="K85" s="7">
        <v>7</v>
      </c>
      <c r="L85" s="7">
        <v>8</v>
      </c>
      <c r="M85" s="7">
        <v>9</v>
      </c>
      <c r="N85" s="7">
        <v>10</v>
      </c>
      <c r="O85" s="7">
        <v>11</v>
      </c>
      <c r="P85" s="7">
        <v>12</v>
      </c>
      <c r="Q85" s="7">
        <v>13</v>
      </c>
      <c r="R85" s="7">
        <v>14</v>
      </c>
      <c r="S85" s="7">
        <v>15</v>
      </c>
      <c r="T85" s="7">
        <v>16</v>
      </c>
      <c r="U85" s="7">
        <v>17</v>
      </c>
      <c r="V85" s="7">
        <v>18</v>
      </c>
      <c r="W85" s="7">
        <v>19</v>
      </c>
      <c r="X85" s="6">
        <v>20</v>
      </c>
      <c r="Y85" s="6">
        <v>21</v>
      </c>
      <c r="Z85" s="6">
        <v>22</v>
      </c>
      <c r="AA85" s="6">
        <v>23</v>
      </c>
      <c r="AB85" s="6">
        <v>24</v>
      </c>
      <c r="AC85" s="6">
        <v>25</v>
      </c>
      <c r="AD85" s="6">
        <v>26</v>
      </c>
      <c r="AE85" s="6">
        <v>27</v>
      </c>
    </row>
    <row r="86" spans="1:35" ht="79.5" customHeight="1">
      <c r="A86" s="306">
        <v>1</v>
      </c>
      <c r="B86" s="425" t="str">
        <f>'4. Кап. інвестиції'!A13</f>
        <v xml:space="preserve">Придбання 20 контейнерів для збирання твердих побутових відходів 1,1м3 на кладовище міста </v>
      </c>
      <c r="C86" s="426"/>
      <c r="D86" s="186"/>
      <c r="E86" s="307"/>
      <c r="F86" s="307"/>
      <c r="G86" s="459"/>
      <c r="H86" s="461"/>
      <c r="I86" s="307"/>
      <c r="J86" s="307"/>
      <c r="K86" s="307"/>
      <c r="L86" s="90">
        <f t="shared" ref="L86:L89" si="4">M86+N86+O86+P86</f>
        <v>205.53672</v>
      </c>
      <c r="M86" s="93">
        <f>'4. Кап. інвестиції'!G13</f>
        <v>205.53672</v>
      </c>
      <c r="N86" s="93">
        <f>'4. Кап. інвестиції'!H13</f>
        <v>0</v>
      </c>
      <c r="O86" s="93">
        <f>'4. Кап. інвестиції'!I13</f>
        <v>0</v>
      </c>
      <c r="P86" s="93">
        <f>'4. Кап. інвестиції'!J13</f>
        <v>0</v>
      </c>
      <c r="Q86" s="90">
        <f t="shared" ref="Q86:Q89" si="5">R86+S86+T86+U86</f>
        <v>0</v>
      </c>
      <c r="R86" s="91">
        <v>0</v>
      </c>
      <c r="S86" s="91">
        <v>0</v>
      </c>
      <c r="T86" s="91">
        <v>0</v>
      </c>
      <c r="U86" s="91">
        <v>0</v>
      </c>
      <c r="V86" s="90">
        <f t="shared" ref="V86:V89" si="6">W86+X86+Y86+Z86</f>
        <v>0</v>
      </c>
      <c r="W86" s="91">
        <v>0</v>
      </c>
      <c r="X86" s="91">
        <v>0</v>
      </c>
      <c r="Y86" s="91">
        <v>0</v>
      </c>
      <c r="Z86" s="91">
        <v>0</v>
      </c>
      <c r="AA86" s="90">
        <f t="shared" ref="AA86:AA89" si="7">AB86+AC86+AD86+AE86</f>
        <v>205.53672</v>
      </c>
      <c r="AB86" s="141">
        <f t="shared" ref="AB86:AE89" si="8">E86+M86+R86+W86</f>
        <v>205.53672</v>
      </c>
      <c r="AC86" s="141">
        <f t="shared" si="8"/>
        <v>0</v>
      </c>
      <c r="AD86" s="141">
        <f t="shared" si="8"/>
        <v>0</v>
      </c>
      <c r="AE86" s="141">
        <f t="shared" si="8"/>
        <v>0</v>
      </c>
    </row>
    <row r="87" spans="1:35" ht="44.25" customHeight="1">
      <c r="A87" s="306">
        <v>2</v>
      </c>
      <c r="B87" s="423" t="str">
        <f>'4. Кап. інвестиції'!A17</f>
        <v>Екскаватор - навантажувач "Катерпіллар"</v>
      </c>
      <c r="C87" s="424"/>
      <c r="D87" s="187"/>
      <c r="E87" s="81"/>
      <c r="F87" s="81"/>
      <c r="G87" s="421"/>
      <c r="H87" s="422"/>
      <c r="I87" s="57"/>
      <c r="J87" s="57"/>
      <c r="K87" s="57"/>
      <c r="L87" s="90">
        <f t="shared" si="4"/>
        <v>1890</v>
      </c>
      <c r="M87" s="90">
        <f>'4. Кап. інвестиції'!G17</f>
        <v>0</v>
      </c>
      <c r="N87" s="90">
        <f>'4. Кап. інвестиції'!H17</f>
        <v>1890</v>
      </c>
      <c r="O87" s="90">
        <f>'4. Кап. інвестиції'!I17</f>
        <v>0</v>
      </c>
      <c r="P87" s="90">
        <f>'4. Кап. інвестиції'!J17</f>
        <v>0</v>
      </c>
      <c r="Q87" s="90">
        <f t="shared" si="5"/>
        <v>0</v>
      </c>
      <c r="R87" s="91">
        <v>0</v>
      </c>
      <c r="S87" s="91">
        <v>0</v>
      </c>
      <c r="T87" s="91">
        <v>0</v>
      </c>
      <c r="U87" s="91">
        <v>0</v>
      </c>
      <c r="V87" s="90">
        <f t="shared" si="6"/>
        <v>0</v>
      </c>
      <c r="W87" s="91">
        <v>0</v>
      </c>
      <c r="X87" s="91">
        <v>0</v>
      </c>
      <c r="Y87" s="91">
        <v>0</v>
      </c>
      <c r="Z87" s="91">
        <v>0</v>
      </c>
      <c r="AA87" s="90">
        <f t="shared" si="7"/>
        <v>1890</v>
      </c>
      <c r="AB87" s="141">
        <f t="shared" si="8"/>
        <v>0</v>
      </c>
      <c r="AC87" s="141">
        <f t="shared" si="8"/>
        <v>1890</v>
      </c>
      <c r="AD87" s="141">
        <f t="shared" si="8"/>
        <v>0</v>
      </c>
      <c r="AE87" s="141">
        <f t="shared" si="8"/>
        <v>0</v>
      </c>
    </row>
    <row r="88" spans="1:35" ht="49.5" customHeight="1">
      <c r="A88" s="306">
        <v>3</v>
      </c>
      <c r="B88" s="423" t="str">
        <f>'4. Кап. інвестиції'!A18</f>
        <v>Мікроавтобус для транспортування до моргу померлих на судмедекспертизу</v>
      </c>
      <c r="C88" s="424"/>
      <c r="D88" s="187"/>
      <c r="E88" s="81"/>
      <c r="F88" s="81"/>
      <c r="G88" s="421"/>
      <c r="H88" s="422"/>
      <c r="I88" s="57"/>
      <c r="J88" s="57"/>
      <c r="K88" s="57"/>
      <c r="L88" s="90">
        <f t="shared" si="4"/>
        <v>890.5</v>
      </c>
      <c r="M88" s="90">
        <f>'4. Кап. інвестиції'!G18</f>
        <v>0</v>
      </c>
      <c r="N88" s="90">
        <f>'4. Кап. інвестиції'!H18</f>
        <v>890.5</v>
      </c>
      <c r="O88" s="90">
        <f>'4. Кап. інвестиції'!I18</f>
        <v>0</v>
      </c>
      <c r="P88" s="90">
        <f>'4. Кап. інвестиції'!J18</f>
        <v>0</v>
      </c>
      <c r="Q88" s="90">
        <f t="shared" si="5"/>
        <v>0</v>
      </c>
      <c r="R88" s="91">
        <v>0</v>
      </c>
      <c r="S88" s="91">
        <v>0</v>
      </c>
      <c r="T88" s="91">
        <v>0</v>
      </c>
      <c r="U88" s="91">
        <v>0</v>
      </c>
      <c r="V88" s="90">
        <f t="shared" si="6"/>
        <v>0</v>
      </c>
      <c r="W88" s="91">
        <v>0</v>
      </c>
      <c r="X88" s="91">
        <v>0</v>
      </c>
      <c r="Y88" s="91">
        <v>0</v>
      </c>
      <c r="Z88" s="91">
        <v>0</v>
      </c>
      <c r="AA88" s="90">
        <f t="shared" si="7"/>
        <v>890.5</v>
      </c>
      <c r="AB88" s="141">
        <f t="shared" si="8"/>
        <v>0</v>
      </c>
      <c r="AC88" s="141">
        <f t="shared" si="8"/>
        <v>890.5</v>
      </c>
      <c r="AD88" s="141">
        <f t="shared" si="8"/>
        <v>0</v>
      </c>
      <c r="AE88" s="141">
        <f t="shared" si="8"/>
        <v>0</v>
      </c>
    </row>
    <row r="89" spans="1:35" ht="30" customHeight="1">
      <c r="A89" s="306">
        <v>4</v>
      </c>
      <c r="B89" s="423" t="str">
        <f>'4. Кап. інвестиції'!A19</f>
        <v xml:space="preserve">Автобус  для супроводу </v>
      </c>
      <c r="C89" s="424"/>
      <c r="D89" s="187"/>
      <c r="E89" s="81"/>
      <c r="F89" s="81"/>
      <c r="G89" s="421"/>
      <c r="H89" s="422"/>
      <c r="I89" s="57"/>
      <c r="J89" s="57"/>
      <c r="K89" s="57"/>
      <c r="L89" s="90">
        <f t="shared" si="4"/>
        <v>2500</v>
      </c>
      <c r="M89" s="90">
        <f>'4. Кап. інвестиції'!G19</f>
        <v>0</v>
      </c>
      <c r="N89" s="90">
        <f>'4. Кап. інвестиції'!H19</f>
        <v>0</v>
      </c>
      <c r="O89" s="90">
        <f>'4. Кап. інвестиції'!I19</f>
        <v>2500</v>
      </c>
      <c r="P89" s="90">
        <f>'4. Кап. інвестиції'!J19</f>
        <v>0</v>
      </c>
      <c r="Q89" s="90">
        <f t="shared" si="5"/>
        <v>0</v>
      </c>
      <c r="R89" s="91"/>
      <c r="S89" s="91"/>
      <c r="T89" s="91"/>
      <c r="U89" s="91"/>
      <c r="V89" s="90">
        <f t="shared" si="6"/>
        <v>0</v>
      </c>
      <c r="W89" s="91"/>
      <c r="X89" s="91"/>
      <c r="Y89" s="91"/>
      <c r="Z89" s="91"/>
      <c r="AA89" s="90">
        <f t="shared" si="7"/>
        <v>2500</v>
      </c>
      <c r="AB89" s="141">
        <f t="shared" si="8"/>
        <v>0</v>
      </c>
      <c r="AC89" s="141">
        <f t="shared" si="8"/>
        <v>0</v>
      </c>
      <c r="AD89" s="141">
        <f t="shared" si="8"/>
        <v>2500</v>
      </c>
      <c r="AE89" s="141">
        <f t="shared" si="8"/>
        <v>0</v>
      </c>
    </row>
    <row r="90" spans="1:35" ht="40.5" customHeight="1">
      <c r="A90" s="306">
        <v>5</v>
      </c>
      <c r="B90" s="423" t="str">
        <f>'4. Кап. інвестиції'!A24</f>
        <v xml:space="preserve">Капітальний  ремонт побутового приміщення на кладовищі </v>
      </c>
      <c r="C90" s="424"/>
      <c r="D90" s="187"/>
      <c r="E90" s="81"/>
      <c r="F90" s="81"/>
      <c r="G90" s="421"/>
      <c r="H90" s="422"/>
      <c r="I90" s="57"/>
      <c r="J90" s="57"/>
      <c r="K90" s="57"/>
      <c r="L90" s="90">
        <f>M90+N90+O90+P90</f>
        <v>199.5</v>
      </c>
      <c r="M90" s="90">
        <f>'4. Кап. інвестиції'!G24</f>
        <v>0</v>
      </c>
      <c r="N90" s="90">
        <f>'4. Кап. інвестиції'!H24</f>
        <v>199.5</v>
      </c>
      <c r="O90" s="90">
        <f>'4. Кап. інвестиції'!I24</f>
        <v>0</v>
      </c>
      <c r="P90" s="90">
        <f>'4. Кап. інвестиції'!J24</f>
        <v>0</v>
      </c>
      <c r="Q90" s="90">
        <f>R90+S90+T90+U90</f>
        <v>0</v>
      </c>
      <c r="R90" s="90">
        <v>0</v>
      </c>
      <c r="S90" s="90">
        <v>0</v>
      </c>
      <c r="T90" s="90">
        <f>'4. Кап. інвестиції'!N24</f>
        <v>0</v>
      </c>
      <c r="U90" s="90">
        <f>'4. Кап. інвестиції'!O24</f>
        <v>0</v>
      </c>
      <c r="V90" s="90">
        <f>W90+X90+Y90+Z90</f>
        <v>0</v>
      </c>
      <c r="W90" s="90">
        <v>0</v>
      </c>
      <c r="X90" s="90">
        <v>0</v>
      </c>
      <c r="Y90" s="90">
        <f>'4. Кап. інвестиції'!S24</f>
        <v>0</v>
      </c>
      <c r="Z90" s="90">
        <f>'4. Кап. інвестиції'!T24</f>
        <v>0</v>
      </c>
      <c r="AA90" s="90">
        <f>AB90+AC90+AD90+AE90</f>
        <v>199.5</v>
      </c>
      <c r="AB90" s="141">
        <f t="shared" ref="AB90:AE91" si="9">E90+M90+R90+W90</f>
        <v>0</v>
      </c>
      <c r="AC90" s="141">
        <f t="shared" si="9"/>
        <v>199.5</v>
      </c>
      <c r="AD90" s="141">
        <f t="shared" si="9"/>
        <v>0</v>
      </c>
      <c r="AE90" s="141">
        <f t="shared" si="9"/>
        <v>0</v>
      </c>
    </row>
    <row r="91" spans="1:35" ht="41.25" customHeight="1">
      <c r="A91" s="339">
        <v>6</v>
      </c>
      <c r="B91" s="423" t="str">
        <f>'4. Кап. інвестиції'!A25</f>
        <v>Капітальний  ремонт туалетів на кладовищах міста</v>
      </c>
      <c r="C91" s="424"/>
      <c r="D91" s="187"/>
      <c r="E91" s="81"/>
      <c r="F91" s="81"/>
      <c r="G91" s="421"/>
      <c r="H91" s="422"/>
      <c r="I91" s="57"/>
      <c r="J91" s="57"/>
      <c r="K91" s="57"/>
      <c r="L91" s="90">
        <f>M91+N91+O91+P91</f>
        <v>779.09999999999991</v>
      </c>
      <c r="M91" s="90">
        <f>'4. Кап. інвестиції'!G25</f>
        <v>0</v>
      </c>
      <c r="N91" s="90">
        <f>'4. Кап. інвестиції'!H25</f>
        <v>259.7</v>
      </c>
      <c r="O91" s="90">
        <f>'4. Кап. інвестиції'!I25</f>
        <v>259.7</v>
      </c>
      <c r="P91" s="90">
        <f>'4. Кап. інвестиції'!J25</f>
        <v>259.7</v>
      </c>
      <c r="Q91" s="90">
        <f>R91+S91+T91+U91</f>
        <v>0</v>
      </c>
      <c r="R91" s="90">
        <v>0</v>
      </c>
      <c r="S91" s="90">
        <v>0</v>
      </c>
      <c r="T91" s="90">
        <f>'4. Кап. інвестиції'!N25</f>
        <v>0</v>
      </c>
      <c r="U91" s="90">
        <f>'4. Кап. інвестиції'!O25</f>
        <v>0</v>
      </c>
      <c r="V91" s="90">
        <f>W91+X91+Y91+Z91</f>
        <v>0</v>
      </c>
      <c r="W91" s="90">
        <v>0</v>
      </c>
      <c r="X91" s="90">
        <v>0</v>
      </c>
      <c r="Y91" s="90">
        <f>'4. Кап. інвестиції'!S25</f>
        <v>0</v>
      </c>
      <c r="Z91" s="90">
        <f>'4. Кап. інвестиції'!T25</f>
        <v>0</v>
      </c>
      <c r="AA91" s="90">
        <f>AB91+AC91+AD91+AE91</f>
        <v>779.09999999999991</v>
      </c>
      <c r="AB91" s="141">
        <f t="shared" si="9"/>
        <v>0</v>
      </c>
      <c r="AC91" s="141">
        <f t="shared" si="9"/>
        <v>259.7</v>
      </c>
      <c r="AD91" s="141">
        <f t="shared" si="9"/>
        <v>259.7</v>
      </c>
      <c r="AE91" s="141">
        <f t="shared" si="9"/>
        <v>259.7</v>
      </c>
    </row>
    <row r="92" spans="1:35">
      <c r="A92" s="168"/>
      <c r="B92" s="489" t="s">
        <v>40</v>
      </c>
      <c r="C92" s="490"/>
      <c r="D92" s="118">
        <f>SUM(D86:D90)</f>
        <v>0</v>
      </c>
      <c r="E92" s="118">
        <f>SUM(E86:E90)</f>
        <v>0</v>
      </c>
      <c r="F92" s="118">
        <f>SUM(F86:F90)</f>
        <v>0</v>
      </c>
      <c r="G92" s="477">
        <f>SUM(G86:G90)</f>
        <v>0</v>
      </c>
      <c r="H92" s="478"/>
      <c r="I92" s="118">
        <f>SUM(I87:I90)</f>
        <v>0</v>
      </c>
      <c r="J92" s="118">
        <f>SUM(J87:J90)</f>
        <v>0</v>
      </c>
      <c r="K92" s="118">
        <f>SUM(K87:K90)</f>
        <v>0</v>
      </c>
      <c r="L92" s="118">
        <f>SUM(L86:L91)</f>
        <v>6464.6367200000004</v>
      </c>
      <c r="M92" s="118">
        <f>SUM(M86:M91)</f>
        <v>205.53672</v>
      </c>
      <c r="N92" s="118">
        <f>SUM(N86:N91)</f>
        <v>3239.7</v>
      </c>
      <c r="O92" s="118">
        <f t="shared" ref="O92:P92" si="10">SUM(O86:O91)</f>
        <v>2759.7</v>
      </c>
      <c r="P92" s="118">
        <f t="shared" si="10"/>
        <v>259.7</v>
      </c>
      <c r="Q92" s="118">
        <f>SUM(Q86:Q91)</f>
        <v>0</v>
      </c>
      <c r="R92" s="118">
        <f>SUM(R86:R91)</f>
        <v>0</v>
      </c>
      <c r="S92" s="118">
        <f t="shared" ref="S92:U92" si="11">SUM(S86:S91)</f>
        <v>0</v>
      </c>
      <c r="T92" s="118">
        <f t="shared" si="11"/>
        <v>0</v>
      </c>
      <c r="U92" s="118">
        <f t="shared" si="11"/>
        <v>0</v>
      </c>
      <c r="V92" s="118">
        <f>SUM(V86:V91)</f>
        <v>0</v>
      </c>
      <c r="W92" s="118">
        <f>SUM(W86:W91)</f>
        <v>0</v>
      </c>
      <c r="X92" s="118">
        <f t="shared" ref="X92:Z92" si="12">SUM(X86:X91)</f>
        <v>0</v>
      </c>
      <c r="Y92" s="118">
        <f t="shared" si="12"/>
        <v>0</v>
      </c>
      <c r="Z92" s="118">
        <f t="shared" si="12"/>
        <v>0</v>
      </c>
      <c r="AA92" s="118">
        <f>SUM(AA86:AA91)</f>
        <v>6464.6367200000004</v>
      </c>
      <c r="AB92" s="118">
        <f>SUM(AB86:AB91)</f>
        <v>205.53672</v>
      </c>
      <c r="AC92" s="118">
        <f>SUM(AC86:AC91)</f>
        <v>3239.7</v>
      </c>
      <c r="AD92" s="118">
        <f t="shared" ref="AD92:AE92" si="13">SUM(AD86:AD91)</f>
        <v>2759.7</v>
      </c>
      <c r="AE92" s="118">
        <f t="shared" si="13"/>
        <v>259.7</v>
      </c>
    </row>
    <row r="93" spans="1:35" ht="21.75" customHeight="1">
      <c r="A93" s="8"/>
      <c r="B93" s="425" t="s">
        <v>41</v>
      </c>
      <c r="C93" s="490"/>
      <c r="D93" s="172"/>
      <c r="E93" s="8"/>
      <c r="F93" s="8"/>
      <c r="G93" s="459">
        <f>H92/AA92*100</f>
        <v>0</v>
      </c>
      <c r="H93" s="461"/>
      <c r="I93" s="58"/>
      <c r="J93" s="58"/>
      <c r="K93" s="58"/>
      <c r="L93" s="169">
        <v>100</v>
      </c>
      <c r="M93" s="58">
        <v>0</v>
      </c>
      <c r="N93" s="169"/>
      <c r="O93" s="169"/>
      <c r="P93" s="169"/>
      <c r="Q93" s="169">
        <v>0</v>
      </c>
      <c r="R93" s="169"/>
      <c r="S93" s="169"/>
      <c r="T93" s="169"/>
      <c r="U93" s="169"/>
      <c r="V93" s="169">
        <f>V92/AA92*100</f>
        <v>0</v>
      </c>
      <c r="W93" s="169"/>
      <c r="X93" s="169"/>
      <c r="Y93" s="169"/>
      <c r="Z93" s="169"/>
      <c r="AA93" s="169">
        <v>100</v>
      </c>
      <c r="AB93" s="169"/>
      <c r="AC93" s="169"/>
      <c r="AD93" s="169"/>
      <c r="AE93" s="169"/>
    </row>
    <row r="94" spans="1:35">
      <c r="A94" s="14" t="s">
        <v>251</v>
      </c>
    </row>
    <row r="95" spans="1:35" ht="18.75" customHeight="1">
      <c r="A95" s="399" t="s">
        <v>35</v>
      </c>
      <c r="B95" s="492" t="s">
        <v>255</v>
      </c>
      <c r="C95" s="493"/>
      <c r="D95" s="500"/>
      <c r="E95" s="417" t="s">
        <v>256</v>
      </c>
      <c r="F95" s="301"/>
      <c r="G95" s="417" t="s">
        <v>257</v>
      </c>
      <c r="H95" s="417" t="s">
        <v>252</v>
      </c>
      <c r="I95" s="417" t="s">
        <v>253</v>
      </c>
      <c r="J95" s="459" t="s">
        <v>107</v>
      </c>
      <c r="K95" s="460"/>
      <c r="L95" s="460"/>
      <c r="M95" s="460"/>
      <c r="N95" s="460"/>
      <c r="O95" s="461"/>
      <c r="P95" s="464" t="s">
        <v>258</v>
      </c>
      <c r="Q95" s="465"/>
      <c r="R95" s="466"/>
      <c r="S95" s="404" t="s">
        <v>259</v>
      </c>
      <c r="T95" s="404"/>
      <c r="U95" s="404"/>
      <c r="V95" s="404"/>
      <c r="W95" s="404"/>
      <c r="X95" s="404"/>
      <c r="Y95" s="139"/>
      <c r="Z95" s="21"/>
      <c r="AA95" s="21"/>
      <c r="AB95" s="21"/>
      <c r="AC95" s="21"/>
      <c r="AD95" s="21"/>
      <c r="AE95" s="21"/>
      <c r="AF95" s="21"/>
      <c r="AG95" s="21"/>
      <c r="AH95" s="21"/>
      <c r="AI95" s="21"/>
    </row>
    <row r="96" spans="1:35">
      <c r="A96" s="399"/>
      <c r="B96" s="494"/>
      <c r="C96" s="495"/>
      <c r="D96" s="501"/>
      <c r="E96" s="475"/>
      <c r="F96" s="314"/>
      <c r="G96" s="476"/>
      <c r="H96" s="476"/>
      <c r="I96" s="476"/>
      <c r="J96" s="417" t="s">
        <v>254</v>
      </c>
      <c r="K96" s="129"/>
      <c r="L96" s="417" t="s">
        <v>260</v>
      </c>
      <c r="M96" s="459" t="s">
        <v>263</v>
      </c>
      <c r="N96" s="462"/>
      <c r="O96" s="463"/>
      <c r="P96" s="467"/>
      <c r="Q96" s="468"/>
      <c r="R96" s="469"/>
      <c r="S96" s="404"/>
      <c r="T96" s="404"/>
      <c r="U96" s="404"/>
      <c r="V96" s="404"/>
      <c r="W96" s="404"/>
      <c r="X96" s="404"/>
      <c r="Y96" s="139"/>
      <c r="Z96" s="21"/>
      <c r="AA96" s="21"/>
      <c r="AB96" s="21"/>
      <c r="AC96" s="21"/>
      <c r="AD96" s="21"/>
      <c r="AE96" s="21"/>
      <c r="AF96" s="21"/>
      <c r="AG96" s="21"/>
      <c r="AH96" s="21"/>
      <c r="AI96" s="21"/>
    </row>
    <row r="97" spans="1:35" ht="194.25" customHeight="1">
      <c r="A97" s="399"/>
      <c r="B97" s="496"/>
      <c r="C97" s="497"/>
      <c r="D97" s="458"/>
      <c r="E97" s="418"/>
      <c r="F97" s="300"/>
      <c r="G97" s="473"/>
      <c r="H97" s="473"/>
      <c r="I97" s="473"/>
      <c r="J97" s="473"/>
      <c r="K97" s="130"/>
      <c r="L97" s="473"/>
      <c r="M97" s="315" t="s">
        <v>261</v>
      </c>
      <c r="N97" s="296" t="s">
        <v>262</v>
      </c>
      <c r="O97" s="296" t="s">
        <v>349</v>
      </c>
      <c r="P97" s="470"/>
      <c r="Q97" s="471"/>
      <c r="R97" s="472"/>
      <c r="S97" s="404"/>
      <c r="T97" s="404"/>
      <c r="U97" s="404"/>
      <c r="V97" s="404"/>
      <c r="W97" s="404"/>
      <c r="X97" s="404"/>
      <c r="Y97" s="139"/>
      <c r="Z97" s="21"/>
      <c r="AA97" s="21"/>
      <c r="AB97" s="21"/>
      <c r="AC97" s="21"/>
      <c r="AD97" s="21"/>
      <c r="AE97" s="21"/>
      <c r="AF97" s="21" t="s">
        <v>348</v>
      </c>
      <c r="AG97" s="21"/>
      <c r="AH97" s="21"/>
      <c r="AI97" s="21"/>
    </row>
    <row r="98" spans="1:35" ht="26.25" customHeight="1">
      <c r="A98" s="6">
        <v>1</v>
      </c>
      <c r="B98" s="459">
        <v>2</v>
      </c>
      <c r="C98" s="463"/>
      <c r="D98" s="171"/>
      <c r="E98" s="7">
        <v>3</v>
      </c>
      <c r="F98" s="7"/>
      <c r="G98" s="7">
        <v>4</v>
      </c>
      <c r="H98" s="7">
        <v>5</v>
      </c>
      <c r="I98" s="7">
        <v>6</v>
      </c>
      <c r="J98" s="7">
        <v>7</v>
      </c>
      <c r="K98" s="7"/>
      <c r="L98" s="7">
        <v>8</v>
      </c>
      <c r="M98" s="7">
        <v>9</v>
      </c>
      <c r="N98" s="7">
        <v>10</v>
      </c>
      <c r="O98" s="7">
        <v>11</v>
      </c>
      <c r="P98" s="459">
        <v>12</v>
      </c>
      <c r="Q98" s="462"/>
      <c r="R98" s="463"/>
      <c r="S98" s="459">
        <v>13</v>
      </c>
      <c r="T98" s="460"/>
      <c r="U98" s="487"/>
      <c r="V98" s="487"/>
      <c r="W98" s="487"/>
      <c r="X98" s="488"/>
      <c r="Y98" s="139"/>
      <c r="Z98" s="21"/>
      <c r="AA98" s="21"/>
      <c r="AB98" s="21"/>
      <c r="AC98" s="21"/>
      <c r="AD98" s="21" t="s">
        <v>353</v>
      </c>
      <c r="AE98" s="21"/>
      <c r="AF98" s="21"/>
      <c r="AG98" s="21"/>
      <c r="AH98" s="21"/>
      <c r="AI98" s="21"/>
    </row>
    <row r="99" spans="1:35" ht="18.75" customHeight="1">
      <c r="A99" s="67" t="s">
        <v>40</v>
      </c>
      <c r="B99" s="489"/>
      <c r="C99" s="490"/>
      <c r="D99" s="172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474"/>
      <c r="Q99" s="462"/>
      <c r="R99" s="463"/>
      <c r="S99" s="474"/>
      <c r="T99" s="491"/>
      <c r="U99" s="462"/>
      <c r="V99" s="462"/>
      <c r="W99" s="462"/>
      <c r="X99" s="463"/>
      <c r="Y99" s="140"/>
      <c r="Z99" s="94"/>
      <c r="AA99" s="94"/>
      <c r="AB99" s="94"/>
      <c r="AC99" s="94"/>
      <c r="AD99" s="95"/>
      <c r="AE99" s="95"/>
      <c r="AF99" s="95"/>
      <c r="AG99" s="95"/>
      <c r="AH99" s="95"/>
      <c r="AI99" s="95"/>
    </row>
    <row r="100" spans="1:35" ht="18.75" customHeight="1">
      <c r="A100" s="166"/>
      <c r="B100" s="166"/>
      <c r="C100" s="167"/>
      <c r="D100" s="167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158"/>
      <c r="R100" s="158"/>
      <c r="S100" s="68"/>
      <c r="T100" s="68"/>
      <c r="U100" s="158"/>
      <c r="V100" s="158"/>
      <c r="W100" s="158"/>
      <c r="X100" s="158"/>
      <c r="Y100" s="94"/>
      <c r="Z100" s="94"/>
      <c r="AA100" s="94"/>
      <c r="AB100" s="94"/>
      <c r="AC100" s="94"/>
      <c r="AD100" s="95"/>
      <c r="AE100" s="95"/>
      <c r="AF100" s="95"/>
      <c r="AG100" s="95"/>
      <c r="AH100" s="95"/>
      <c r="AI100" s="95"/>
    </row>
    <row r="101" spans="1:35" ht="34.5" customHeight="1">
      <c r="A101" s="316" t="s">
        <v>402</v>
      </c>
      <c r="B101" s="1"/>
      <c r="C101" s="1"/>
      <c r="D101" s="1"/>
      <c r="E101" s="455" t="s">
        <v>401</v>
      </c>
      <c r="F101" s="455"/>
      <c r="G101" s="456"/>
      <c r="H101" s="12"/>
      <c r="I101" s="457" t="s">
        <v>316</v>
      </c>
      <c r="J101" s="457"/>
      <c r="K101" s="457"/>
      <c r="L101" s="457"/>
    </row>
    <row r="102" spans="1:35">
      <c r="A102" s="49" t="s">
        <v>61</v>
      </c>
      <c r="B102" s="125"/>
      <c r="C102" s="125"/>
      <c r="D102" s="125"/>
      <c r="E102" s="363" t="s">
        <v>62</v>
      </c>
      <c r="F102" s="363"/>
      <c r="G102" s="363"/>
      <c r="H102" s="127"/>
      <c r="I102" s="382" t="s">
        <v>81</v>
      </c>
      <c r="J102" s="382"/>
      <c r="K102" s="382"/>
      <c r="L102" s="382"/>
    </row>
  </sheetData>
  <mergeCells count="175">
    <mergeCell ref="I27:J27"/>
    <mergeCell ref="I17:J17"/>
    <mergeCell ref="I26:J26"/>
    <mergeCell ref="I12:J12"/>
    <mergeCell ref="I13:J13"/>
    <mergeCell ref="I18:J18"/>
    <mergeCell ref="I19:J19"/>
    <mergeCell ref="I21:J21"/>
    <mergeCell ref="G14:H14"/>
    <mergeCell ref="I15:J15"/>
    <mergeCell ref="I23:J23"/>
    <mergeCell ref="I25:J25"/>
    <mergeCell ref="G23:H23"/>
    <mergeCell ref="I24:J24"/>
    <mergeCell ref="G18:H18"/>
    <mergeCell ref="G27:H27"/>
    <mergeCell ref="G19:H19"/>
    <mergeCell ref="G20:H20"/>
    <mergeCell ref="G21:H21"/>
    <mergeCell ref="G25:H25"/>
    <mergeCell ref="G26:H26"/>
    <mergeCell ref="G24:H24"/>
    <mergeCell ref="B2:I2"/>
    <mergeCell ref="I22:J22"/>
    <mergeCell ref="G12:H12"/>
    <mergeCell ref="G13:H13"/>
    <mergeCell ref="I16:J16"/>
    <mergeCell ref="A4:J4"/>
    <mergeCell ref="A5:J5"/>
    <mergeCell ref="A7:J7"/>
    <mergeCell ref="A6:J6"/>
    <mergeCell ref="I20:J20"/>
    <mergeCell ref="I14:J14"/>
    <mergeCell ref="G22:H22"/>
    <mergeCell ref="G15:H15"/>
    <mergeCell ref="G17:H17"/>
    <mergeCell ref="G16:H16"/>
    <mergeCell ref="B67:C67"/>
    <mergeCell ref="J77:N77"/>
    <mergeCell ref="A71:A72"/>
    <mergeCell ref="I71:N71"/>
    <mergeCell ref="H58:I58"/>
    <mergeCell ref="J58:M58"/>
    <mergeCell ref="E58:G58"/>
    <mergeCell ref="J48:M48"/>
    <mergeCell ref="J49:M49"/>
    <mergeCell ref="B66:C66"/>
    <mergeCell ref="B61:C61"/>
    <mergeCell ref="B63:C63"/>
    <mergeCell ref="B50:C50"/>
    <mergeCell ref="B62:C62"/>
    <mergeCell ref="B52:C52"/>
    <mergeCell ref="B53:C53"/>
    <mergeCell ref="B65:C65"/>
    <mergeCell ref="B59:C59"/>
    <mergeCell ref="B60:C60"/>
    <mergeCell ref="B68:C68"/>
    <mergeCell ref="B64:C64"/>
    <mergeCell ref="A70:M70"/>
    <mergeCell ref="J72:K72"/>
    <mergeCell ref="B57:D57"/>
    <mergeCell ref="B51:C51"/>
    <mergeCell ref="B58:C58"/>
    <mergeCell ref="J52:M52"/>
    <mergeCell ref="J53:M53"/>
    <mergeCell ref="E57:G57"/>
    <mergeCell ref="B48:C48"/>
    <mergeCell ref="B49:C49"/>
    <mergeCell ref="J50:M50"/>
    <mergeCell ref="A40:A41"/>
    <mergeCell ref="B40:C40"/>
    <mergeCell ref="D40:E40"/>
    <mergeCell ref="I40:K40"/>
    <mergeCell ref="S95:X97"/>
    <mergeCell ref="S98:X98"/>
    <mergeCell ref="B99:C99"/>
    <mergeCell ref="B98:C98"/>
    <mergeCell ref="S99:X99"/>
    <mergeCell ref="J95:O95"/>
    <mergeCell ref="A95:A97"/>
    <mergeCell ref="A82:A84"/>
    <mergeCell ref="B93:C93"/>
    <mergeCell ref="B95:C97"/>
    <mergeCell ref="B92:C92"/>
    <mergeCell ref="B85:C85"/>
    <mergeCell ref="B87:C87"/>
    <mergeCell ref="D83:D84"/>
    <mergeCell ref="B82:C84"/>
    <mergeCell ref="D95:D97"/>
    <mergeCell ref="B88:C88"/>
    <mergeCell ref="B89:C89"/>
    <mergeCell ref="E83:K83"/>
    <mergeCell ref="Q82:U82"/>
    <mergeCell ref="B91:C91"/>
    <mergeCell ref="G87:H87"/>
    <mergeCell ref="G88:H88"/>
    <mergeCell ref="G89:H89"/>
    <mergeCell ref="AB83:AE83"/>
    <mergeCell ref="AA83:AA84"/>
    <mergeCell ref="R83:U83"/>
    <mergeCell ref="V83:V84"/>
    <mergeCell ref="W83:Z83"/>
    <mergeCell ref="I76:N76"/>
    <mergeCell ref="I77:I78"/>
    <mergeCell ref="M83:P83"/>
    <mergeCell ref="V82:Z82"/>
    <mergeCell ref="Y81:AE81"/>
    <mergeCell ref="AA82:AE82"/>
    <mergeCell ref="I34:J34"/>
    <mergeCell ref="J51:M51"/>
    <mergeCell ref="I28:J28"/>
    <mergeCell ref="I30:J30"/>
    <mergeCell ref="J57:M57"/>
    <mergeCell ref="H57:I57"/>
    <mergeCell ref="G32:H32"/>
    <mergeCell ref="G33:H33"/>
    <mergeCell ref="I29:J29"/>
    <mergeCell ref="I32:J32"/>
    <mergeCell ref="I36:J36"/>
    <mergeCell ref="I35:J35"/>
    <mergeCell ref="I31:J31"/>
    <mergeCell ref="I33:J33"/>
    <mergeCell ref="G35:H35"/>
    <mergeCell ref="L40:M40"/>
    <mergeCell ref="G31:H31"/>
    <mergeCell ref="G30:H30"/>
    <mergeCell ref="G29:H29"/>
    <mergeCell ref="G40:H40"/>
    <mergeCell ref="G34:H34"/>
    <mergeCell ref="G28:H28"/>
    <mergeCell ref="G36:H36"/>
    <mergeCell ref="E101:G101"/>
    <mergeCell ref="I101:L101"/>
    <mergeCell ref="E102:G102"/>
    <mergeCell ref="I102:L102"/>
    <mergeCell ref="L83:L84"/>
    <mergeCell ref="L82:P82"/>
    <mergeCell ref="M96:O96"/>
    <mergeCell ref="P95:R97"/>
    <mergeCell ref="L96:L97"/>
    <mergeCell ref="P98:R98"/>
    <mergeCell ref="Q83:Q84"/>
    <mergeCell ref="E82:J82"/>
    <mergeCell ref="J96:J97"/>
    <mergeCell ref="P99:R99"/>
    <mergeCell ref="E95:E97"/>
    <mergeCell ref="G95:G97"/>
    <mergeCell ref="H95:H97"/>
    <mergeCell ref="I95:I97"/>
    <mergeCell ref="G92:H92"/>
    <mergeCell ref="G93:H93"/>
    <mergeCell ref="G91:H91"/>
    <mergeCell ref="G84:H84"/>
    <mergeCell ref="G85:H85"/>
    <mergeCell ref="G86:H86"/>
    <mergeCell ref="G90:H90"/>
    <mergeCell ref="B90:C90"/>
    <mergeCell ref="B86:C86"/>
    <mergeCell ref="G71:H72"/>
    <mergeCell ref="G73:H73"/>
    <mergeCell ref="A81:H81"/>
    <mergeCell ref="B73:C73"/>
    <mergeCell ref="H76:H78"/>
    <mergeCell ref="F71:F72"/>
    <mergeCell ref="B76:C78"/>
    <mergeCell ref="B71:C72"/>
    <mergeCell ref="B80:C80"/>
    <mergeCell ref="A76:A78"/>
    <mergeCell ref="E76:E78"/>
    <mergeCell ref="G76:G78"/>
    <mergeCell ref="F76:F78"/>
    <mergeCell ref="B79:C79"/>
    <mergeCell ref="A75:J75"/>
    <mergeCell ref="E71:E72"/>
    <mergeCell ref="J73:K73"/>
  </mergeCells>
  <phoneticPr fontId="3" type="noConversion"/>
  <printOptions horizontalCentered="1"/>
  <pageMargins left="0" right="0" top="0.82677165354330717" bottom="0" header="0.35433070866141736" footer="0.15748031496062992"/>
  <pageSetup paperSize="9" scale="65" fitToHeight="0" orientation="portrait" verticalDpi="1200" r:id="rId1"/>
  <headerFooter alignWithMargins="0">
    <oddHeader>&amp;C&amp;"Times New Roman,обычный"&amp;14 13&amp;R&amp;"Times New Roman,обычный"&amp;14Продовження додатка 1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Фінплан - зведені показники</vt:lpstr>
      <vt:lpstr>1.Фінансовий результат</vt:lpstr>
      <vt:lpstr>2. Розрахунки з бюджетом</vt:lpstr>
      <vt:lpstr>3. Рух грошових коштів</vt:lpstr>
      <vt:lpstr>4. Кап. інвестиції</vt:lpstr>
      <vt:lpstr>5. Інша інформація</vt:lpstr>
      <vt:lpstr>'1.Фінансовий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'1.Фінансовий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'5. Інша інформація'!Область_печати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Голубченко Анна</cp:lastModifiedBy>
  <cp:lastPrinted>2019-08-06T11:37:34Z</cp:lastPrinted>
  <dcterms:created xsi:type="dcterms:W3CDTF">2003-03-13T16:00:22Z</dcterms:created>
  <dcterms:modified xsi:type="dcterms:W3CDTF">2019-08-06T14:00:25Z</dcterms:modified>
</cp:coreProperties>
</file>